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omments13.xml" ContentType="application/vnd.openxmlformats-officedocument.spreadsheetml.comments+xml"/>
  <Override PartName="/xl/drawings/drawing5.xml" ContentType="application/vnd.openxmlformats-officedocument.drawing+xml"/>
  <Override PartName="/xl/comments14.xml" ContentType="application/vnd.openxmlformats-officedocument.spreadsheetml.comments+xml"/>
  <Override PartName="/xl/drawings/drawing6.xml" ContentType="application/vnd.openxmlformats-officedocument.drawing+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60" yWindow="120" windowWidth="10005" windowHeight="6390" tabRatio="906"/>
  </bookViews>
  <sheets>
    <sheet name="General Data" sheetId="1" r:id="rId1"/>
    <sheet name="LCC0" sheetId="29" r:id="rId2"/>
    <sheet name="LCC1" sheetId="19" r:id="rId3"/>
    <sheet name="LCC2" sheetId="20" r:id="rId4"/>
    <sheet name="LCC3" sheetId="21" r:id="rId5"/>
    <sheet name="LCC4" sheetId="22" r:id="rId6"/>
    <sheet name="LCC5" sheetId="23" r:id="rId7"/>
    <sheet name="LCC6" sheetId="24" r:id="rId8"/>
    <sheet name="LCC7" sheetId="25" r:id="rId9"/>
    <sheet name="LCC8" sheetId="26" r:id="rId10"/>
    <sheet name="LCC9" sheetId="27" r:id="rId11"/>
    <sheet name="Results Summary" sheetId="12" r:id="rId12"/>
    <sheet name="Graph" sheetId="13" r:id="rId13"/>
    <sheet name="SPV" sheetId="14" r:id="rId14"/>
    <sheet name="UPV" sheetId="15" r:id="rId15"/>
    <sheet name="DOE Mod UPV" sheetId="16" r:id="rId16"/>
    <sheet name="DOE Fuel Esc Rates" sheetId="17" r:id="rId17"/>
    <sheet name="non-fuel Mod UPV" sheetId="18" r:id="rId18"/>
    <sheet name="Copyright" sheetId="30" r:id="rId19"/>
  </sheets>
  <definedNames>
    <definedName name="disc" localSheetId="1">LCC0!$T$4</definedName>
    <definedName name="disc" localSheetId="2">'LCC1'!$T$4</definedName>
    <definedName name="disc" localSheetId="3">'LCC2'!$T$4</definedName>
    <definedName name="disc" localSheetId="4">'LCC3'!$T$4</definedName>
    <definedName name="disc" localSheetId="5">'LCC4'!$T$4</definedName>
    <definedName name="disc" localSheetId="6">'LCC5'!$T$4</definedName>
    <definedName name="disc" localSheetId="7">'LCC6'!$T$4</definedName>
    <definedName name="disc" localSheetId="8">'LCC7'!$T$4</definedName>
    <definedName name="disc" localSheetId="9">'LCC8'!$T$4</definedName>
    <definedName name="disc" localSheetId="10">'LCC9'!$T$4</definedName>
    <definedName name="disc">#REF!</definedName>
    <definedName name="DOEUPV_femp_disc">'DOE Mod UPV'!$N$123</definedName>
    <definedName name="ModUPV_femp_disc">'non-fuel Mod UPV'!$I$4</definedName>
    <definedName name="_xlnm.Print_Area" localSheetId="16">'DOE Fuel Esc Rates'!$A$40:$T$409</definedName>
    <definedName name="_xlnm.Print_Area" localSheetId="15">'DOE Mod UPV'!$A$1:$T$200</definedName>
    <definedName name="_xlnm.Print_Area" localSheetId="1">LCC0!$A$1:$X$44</definedName>
    <definedName name="_xlnm.Print_Area" localSheetId="2">'LCC1'!$A$1:$X$44</definedName>
    <definedName name="_xlnm.Print_Area" localSheetId="3">'LCC2'!$A$1:$X$44</definedName>
    <definedName name="_xlnm.Print_Area" localSheetId="4">'LCC3'!$A$1:$X$44</definedName>
    <definedName name="_xlnm.Print_Area" localSheetId="5">'LCC4'!$A$1:$X$44</definedName>
    <definedName name="_xlnm.Print_Area" localSheetId="6">'LCC5'!$A$1:$X$44</definedName>
    <definedName name="_xlnm.Print_Area" localSheetId="7">'LCC6'!$A$1:$X$44</definedName>
    <definedName name="_xlnm.Print_Area" localSheetId="8">'LCC7'!$A$1:$X$44</definedName>
    <definedName name="_xlnm.Print_Area" localSheetId="9">'LCC8'!$A$1:$X$44</definedName>
    <definedName name="_xlnm.Print_Area" localSheetId="10">'LCC9'!$A$1:$X$44</definedName>
    <definedName name="_xlnm.Print_Area" localSheetId="17">'non-fuel Mod UPV'!$A$1:$L$49</definedName>
    <definedName name="_xlnm.Print_Area" localSheetId="11">'Results Summary'!$A$1:$W$44</definedName>
    <definedName name="_xlnm.Print_Area" localSheetId="13">SPV!$A$1:$D$51</definedName>
    <definedName name="_xlnm.Print_Area" localSheetId="14">UPV!$A$1:$D$52</definedName>
    <definedName name="SPV_Femp_disc">SPV!$B$6</definedName>
    <definedName name="SPV_OMBlt_disc">SPV!$D$6</definedName>
    <definedName name="SPV_OMBst_disc">SPV!$C$6</definedName>
    <definedName name="UPV_Femp_disc">UPV!$B$7</definedName>
    <definedName name="UPV_OMBlt_disc">UPV!$D$7</definedName>
    <definedName name="UPV_OMBst_disc">UPV!$C$7</definedName>
  </definedNames>
  <calcPr calcId="145621"/>
</workbook>
</file>

<file path=xl/calcChain.xml><?xml version="1.0" encoding="utf-8"?>
<calcChain xmlns="http://schemas.openxmlformats.org/spreadsheetml/2006/main">
  <c r="H2" i="1" l="1"/>
  <c r="M40" i="12" l="1"/>
  <c r="L40" i="12"/>
  <c r="D16" i="26"/>
  <c r="D16" i="29"/>
  <c r="D40" i="21" l="1"/>
  <c r="D39" i="21"/>
  <c r="D38" i="21"/>
  <c r="D37" i="21"/>
  <c r="D36" i="21"/>
  <c r="D35" i="21"/>
  <c r="D34" i="21"/>
  <c r="D33" i="21"/>
  <c r="D32" i="21"/>
  <c r="D31" i="21"/>
  <c r="D30" i="21"/>
  <c r="D29" i="21"/>
  <c r="D28" i="21"/>
  <c r="D27" i="21"/>
  <c r="D26" i="21"/>
  <c r="D25" i="21"/>
  <c r="D24" i="21"/>
  <c r="D23" i="21"/>
  <c r="D22" i="21"/>
  <c r="D21" i="21"/>
  <c r="D20" i="21"/>
  <c r="D19" i="21"/>
  <c r="D18" i="21"/>
  <c r="D17" i="21"/>
  <c r="D16" i="21"/>
  <c r="D40" i="22"/>
  <c r="D39" i="22"/>
  <c r="D38" i="22"/>
  <c r="D37" i="22"/>
  <c r="D36" i="22"/>
  <c r="D35" i="22"/>
  <c r="D34" i="22"/>
  <c r="D33" i="22"/>
  <c r="D32" i="22"/>
  <c r="D31" i="22"/>
  <c r="D30" i="22"/>
  <c r="D29" i="22"/>
  <c r="D28" i="22"/>
  <c r="D27" i="22"/>
  <c r="D26" i="22"/>
  <c r="D25" i="22"/>
  <c r="D24" i="22"/>
  <c r="D23" i="22"/>
  <c r="D22" i="22"/>
  <c r="D21" i="22"/>
  <c r="D20" i="22"/>
  <c r="D19" i="22"/>
  <c r="D18" i="22"/>
  <c r="D17" i="22"/>
  <c r="D16" i="22"/>
  <c r="D40" i="23"/>
  <c r="D39" i="23"/>
  <c r="D38" i="23"/>
  <c r="D37" i="23"/>
  <c r="D36" i="23"/>
  <c r="D35" i="23"/>
  <c r="D34" i="23"/>
  <c r="D33" i="23"/>
  <c r="D32" i="23"/>
  <c r="D31" i="23"/>
  <c r="D30" i="23"/>
  <c r="D29" i="23"/>
  <c r="D28" i="23"/>
  <c r="D27" i="23"/>
  <c r="D26" i="23"/>
  <c r="D25" i="23"/>
  <c r="D24" i="23"/>
  <c r="D23" i="23"/>
  <c r="D22" i="23"/>
  <c r="D21" i="23"/>
  <c r="D20" i="23"/>
  <c r="D19" i="23"/>
  <c r="D18" i="23"/>
  <c r="D17" i="23"/>
  <c r="D16" i="23"/>
  <c r="D40" i="24"/>
  <c r="D39" i="24"/>
  <c r="D38" i="24"/>
  <c r="D37" i="24"/>
  <c r="D36" i="24"/>
  <c r="D35" i="24"/>
  <c r="D34" i="24"/>
  <c r="D33" i="24"/>
  <c r="D32" i="24"/>
  <c r="D31" i="24"/>
  <c r="D30" i="24"/>
  <c r="D29" i="24"/>
  <c r="D28" i="24"/>
  <c r="D27" i="24"/>
  <c r="D26" i="24"/>
  <c r="D25" i="24"/>
  <c r="D24" i="24"/>
  <c r="D23" i="24"/>
  <c r="D22" i="24"/>
  <c r="D21" i="24"/>
  <c r="D20" i="24"/>
  <c r="D19" i="24"/>
  <c r="D18" i="24"/>
  <c r="D17" i="24"/>
  <c r="D16" i="24"/>
  <c r="D40" i="25"/>
  <c r="D39" i="25"/>
  <c r="D38" i="25"/>
  <c r="D37" i="25"/>
  <c r="D36" i="25"/>
  <c r="D35" i="25"/>
  <c r="D34" i="25"/>
  <c r="D33" i="25"/>
  <c r="D32" i="25"/>
  <c r="D31" i="25"/>
  <c r="D30" i="25"/>
  <c r="D29" i="25"/>
  <c r="D28" i="25"/>
  <c r="D27" i="25"/>
  <c r="D26" i="25"/>
  <c r="D25" i="25"/>
  <c r="D24" i="25"/>
  <c r="D23" i="25"/>
  <c r="D22" i="25"/>
  <c r="D21" i="25"/>
  <c r="D20" i="25"/>
  <c r="D19" i="25"/>
  <c r="D18" i="25"/>
  <c r="D17" i="25"/>
  <c r="D16" i="25"/>
  <c r="D40" i="26"/>
  <c r="D39" i="26"/>
  <c r="D38" i="26"/>
  <c r="D37" i="26"/>
  <c r="D36" i="26"/>
  <c r="D35" i="26"/>
  <c r="D34" i="26"/>
  <c r="D33" i="26"/>
  <c r="D32" i="26"/>
  <c r="D31" i="26"/>
  <c r="D30" i="26"/>
  <c r="D29" i="26"/>
  <c r="D28" i="26"/>
  <c r="D27" i="26"/>
  <c r="D26" i="26"/>
  <c r="D25" i="26"/>
  <c r="D24" i="26"/>
  <c r="D23" i="26"/>
  <c r="D22" i="26"/>
  <c r="D21" i="26"/>
  <c r="D20" i="26"/>
  <c r="D19" i="26"/>
  <c r="D18" i="26"/>
  <c r="D17" i="26"/>
  <c r="D40" i="27"/>
  <c r="D39" i="27"/>
  <c r="D38" i="27"/>
  <c r="D37" i="27"/>
  <c r="D36" i="27"/>
  <c r="D35" i="27"/>
  <c r="D34" i="27"/>
  <c r="D33" i="27"/>
  <c r="D32" i="27"/>
  <c r="D31" i="27"/>
  <c r="D30" i="27"/>
  <c r="D29" i="27"/>
  <c r="D28" i="27"/>
  <c r="D27" i="27"/>
  <c r="D26" i="27"/>
  <c r="D25" i="27"/>
  <c r="D24" i="27"/>
  <c r="D23" i="27"/>
  <c r="D22" i="27"/>
  <c r="D21" i="27"/>
  <c r="D20" i="27"/>
  <c r="D19" i="27"/>
  <c r="D18" i="27"/>
  <c r="D17" i="27"/>
  <c r="D16" i="27"/>
  <c r="D40" i="20"/>
  <c r="D39" i="20"/>
  <c r="D38" i="20"/>
  <c r="D37" i="20"/>
  <c r="D36" i="20"/>
  <c r="D35" i="20"/>
  <c r="D34" i="20"/>
  <c r="D33" i="20"/>
  <c r="D32" i="20"/>
  <c r="D31" i="20"/>
  <c r="D30" i="20"/>
  <c r="D29" i="20"/>
  <c r="D28" i="20"/>
  <c r="D27" i="20"/>
  <c r="D26" i="20"/>
  <c r="D25" i="20"/>
  <c r="D24" i="20"/>
  <c r="D23" i="20"/>
  <c r="D22" i="20"/>
  <c r="D21" i="20"/>
  <c r="D20" i="20"/>
  <c r="D19" i="20"/>
  <c r="D18" i="20"/>
  <c r="D17" i="20"/>
  <c r="D16" i="20"/>
  <c r="D40" i="19"/>
  <c r="D39" i="19"/>
  <c r="D38" i="19"/>
  <c r="D37" i="19"/>
  <c r="D36" i="19"/>
  <c r="D35" i="19"/>
  <c r="D34" i="19"/>
  <c r="D33" i="19"/>
  <c r="D32" i="19"/>
  <c r="D31" i="19"/>
  <c r="D30" i="19"/>
  <c r="D29" i="19"/>
  <c r="D28" i="19"/>
  <c r="D27" i="19"/>
  <c r="D26" i="19"/>
  <c r="D25" i="19"/>
  <c r="D24" i="19"/>
  <c r="D23" i="19"/>
  <c r="D22" i="19"/>
  <c r="D21" i="19"/>
  <c r="D20" i="19"/>
  <c r="D19" i="19"/>
  <c r="D18" i="19"/>
  <c r="D17" i="19"/>
  <c r="D16" i="19"/>
  <c r="D40" i="29"/>
  <c r="D39" i="29"/>
  <c r="D38" i="29"/>
  <c r="D37" i="29"/>
  <c r="D36" i="29"/>
  <c r="D35" i="29"/>
  <c r="D34" i="29"/>
  <c r="D33" i="29"/>
  <c r="D32" i="29"/>
  <c r="D31" i="29"/>
  <c r="D30" i="29"/>
  <c r="D29" i="29"/>
  <c r="D28" i="29"/>
  <c r="D27" i="29"/>
  <c r="D26" i="29"/>
  <c r="D25" i="29"/>
  <c r="D24" i="29"/>
  <c r="D23" i="29"/>
  <c r="D22" i="29"/>
  <c r="D21" i="29"/>
  <c r="D20" i="29"/>
  <c r="D19" i="29"/>
  <c r="D18" i="29"/>
  <c r="D17" i="29"/>
  <c r="T5" i="26"/>
  <c r="T4" i="26"/>
  <c r="T5" i="27"/>
  <c r="T5" i="25"/>
  <c r="T5" i="24"/>
  <c r="T5" i="23"/>
  <c r="T5" i="22"/>
  <c r="T5" i="21"/>
  <c r="T5" i="20"/>
  <c r="T5" i="19"/>
  <c r="T5" i="29"/>
  <c r="O15" i="23"/>
  <c r="I15" i="23"/>
  <c r="O15" i="22"/>
  <c r="I15" i="22"/>
  <c r="O15" i="21"/>
  <c r="I15" i="21"/>
  <c r="O15" i="20"/>
  <c r="I15" i="20"/>
  <c r="I13" i="1"/>
  <c r="H4" i="23"/>
  <c r="N4" i="23"/>
  <c r="T4" i="23"/>
  <c r="D15" i="23" s="1"/>
  <c r="H4" i="22"/>
  <c r="N3" i="22" s="1"/>
  <c r="N4" i="22"/>
  <c r="T4" i="22"/>
  <c r="D15" i="22"/>
  <c r="W15" i="22" s="1"/>
  <c r="H4" i="21"/>
  <c r="N4" i="21"/>
  <c r="T4" i="21"/>
  <c r="D15" i="21"/>
  <c r="X15" i="21" s="1"/>
  <c r="Y15" i="21" s="1"/>
  <c r="H4" i="20"/>
  <c r="N3" i="20" s="1"/>
  <c r="N4" i="20"/>
  <c r="T4" i="20"/>
  <c r="D15" i="20"/>
  <c r="X15" i="20" s="1"/>
  <c r="Y15" i="20" s="1"/>
  <c r="H8" i="17"/>
  <c r="W5" i="17"/>
  <c r="T4" i="29"/>
  <c r="D15" i="29"/>
  <c r="X15" i="29" s="1"/>
  <c r="Y15" i="29" s="1"/>
  <c r="H4" i="29"/>
  <c r="N3" i="29" s="1"/>
  <c r="N4" i="29"/>
  <c r="AB1" i="17"/>
  <c r="H416" i="17"/>
  <c r="H9" i="17" s="1"/>
  <c r="V9" i="17" s="1"/>
  <c r="AA9" i="17" s="1"/>
  <c r="H417" i="17"/>
  <c r="X9" i="17"/>
  <c r="K416" i="17"/>
  <c r="K417" i="17"/>
  <c r="K9" i="17"/>
  <c r="Y9" i="17" s="1"/>
  <c r="W9" i="17" s="1"/>
  <c r="Z9" i="17"/>
  <c r="U9" i="17"/>
  <c r="U10" i="17" s="1"/>
  <c r="U11" i="17" s="1"/>
  <c r="U12" i="17" s="1"/>
  <c r="U13" i="17" s="1"/>
  <c r="I15" i="29"/>
  <c r="O15" i="29"/>
  <c r="H418" i="17"/>
  <c r="H11" i="17" s="1"/>
  <c r="V11" i="17" s="1"/>
  <c r="X10" i="17"/>
  <c r="K418" i="17"/>
  <c r="Z10" i="17"/>
  <c r="H419" i="17"/>
  <c r="X11" i="17"/>
  <c r="K419" i="17"/>
  <c r="Z11" i="17"/>
  <c r="H420" i="17"/>
  <c r="X12" i="17"/>
  <c r="K420" i="17"/>
  <c r="K12" i="17" s="1"/>
  <c r="Y12" i="17" s="1"/>
  <c r="W12" i="17" s="1"/>
  <c r="Z12" i="17"/>
  <c r="H421" i="17"/>
  <c r="H14" i="17" s="1"/>
  <c r="V14" i="17" s="1"/>
  <c r="X13" i="17"/>
  <c r="K421" i="17"/>
  <c r="Z13" i="17"/>
  <c r="H422" i="17"/>
  <c r="H15" i="17"/>
  <c r="V15" i="17" s="1"/>
  <c r="X14" i="17"/>
  <c r="K422" i="17"/>
  <c r="Z14" i="17"/>
  <c r="H423" i="17"/>
  <c r="X15" i="17"/>
  <c r="K423" i="17"/>
  <c r="K16" i="17" s="1"/>
  <c r="Y16" i="17" s="1"/>
  <c r="Z15" i="17"/>
  <c r="H424" i="17"/>
  <c r="H17" i="17" s="1"/>
  <c r="V17" i="17" s="1"/>
  <c r="X16" i="17"/>
  <c r="K424" i="17"/>
  <c r="Z16" i="17"/>
  <c r="H425" i="17"/>
  <c r="X17" i="17"/>
  <c r="K425" i="17"/>
  <c r="K17" i="17" s="1"/>
  <c r="Y17" i="17" s="1"/>
  <c r="Z17" i="17"/>
  <c r="H426" i="17"/>
  <c r="H18" i="17" s="1"/>
  <c r="V18" i="17" s="1"/>
  <c r="X18" i="17"/>
  <c r="K426" i="17"/>
  <c r="Z18" i="17"/>
  <c r="H427" i="17"/>
  <c r="X19" i="17"/>
  <c r="K427" i="17"/>
  <c r="Z19" i="17"/>
  <c r="H428" i="17"/>
  <c r="H20" i="17" s="1"/>
  <c r="V20" i="17" s="1"/>
  <c r="X20" i="17"/>
  <c r="K428" i="17"/>
  <c r="Z20" i="17"/>
  <c r="H429" i="17"/>
  <c r="X21" i="17"/>
  <c r="K429" i="17"/>
  <c r="Z21" i="17"/>
  <c r="H430" i="17"/>
  <c r="X22" i="17"/>
  <c r="K430" i="17"/>
  <c r="Z22" i="17"/>
  <c r="H431" i="17"/>
  <c r="X23" i="17"/>
  <c r="K431" i="17"/>
  <c r="Z23" i="17"/>
  <c r="H432" i="17"/>
  <c r="H24" i="17" s="1"/>
  <c r="V24" i="17" s="1"/>
  <c r="X24" i="17"/>
  <c r="K432" i="17"/>
  <c r="Z24" i="17"/>
  <c r="H433" i="17"/>
  <c r="X25" i="17"/>
  <c r="K433" i="17"/>
  <c r="Z25" i="17"/>
  <c r="H434" i="17"/>
  <c r="H27" i="17" s="1"/>
  <c r="X26" i="17"/>
  <c r="K434" i="17"/>
  <c r="Z26" i="17"/>
  <c r="H435" i="17"/>
  <c r="X27" i="17"/>
  <c r="K435" i="17"/>
  <c r="Z27" i="17"/>
  <c r="H436" i="17"/>
  <c r="H29" i="17" s="1"/>
  <c r="V29" i="17" s="1"/>
  <c r="X28" i="17"/>
  <c r="K436" i="17"/>
  <c r="Z28" i="17"/>
  <c r="H437" i="17"/>
  <c r="X29" i="17"/>
  <c r="K437" i="17"/>
  <c r="K29" i="17" s="1"/>
  <c r="Y29" i="17" s="1"/>
  <c r="W29" i="17" s="1"/>
  <c r="Z29" i="17"/>
  <c r="H438" i="17"/>
  <c r="X30" i="17"/>
  <c r="K438" i="17"/>
  <c r="Z30" i="17"/>
  <c r="H439" i="17"/>
  <c r="X31" i="17"/>
  <c r="K439" i="17"/>
  <c r="Z31" i="17"/>
  <c r="H440" i="17"/>
  <c r="X32" i="17"/>
  <c r="K440" i="17"/>
  <c r="Z32" i="17"/>
  <c r="H441" i="17"/>
  <c r="X33" i="17"/>
  <c r="K441" i="17"/>
  <c r="Z33" i="17"/>
  <c r="T10" i="17"/>
  <c r="T11" i="17"/>
  <c r="T12" i="17"/>
  <c r="T13" i="17"/>
  <c r="T14" i="17"/>
  <c r="T15" i="17"/>
  <c r="T16" i="17"/>
  <c r="T17" i="17"/>
  <c r="T18" i="17"/>
  <c r="T19" i="17"/>
  <c r="T20" i="17"/>
  <c r="T21" i="17"/>
  <c r="T22" i="17"/>
  <c r="T23" i="17"/>
  <c r="F20" i="12"/>
  <c r="J20" i="12" s="1"/>
  <c r="F19" i="12"/>
  <c r="C43" i="26"/>
  <c r="M18" i="12"/>
  <c r="H17" i="12"/>
  <c r="F17" i="12"/>
  <c r="J17" i="12" s="1"/>
  <c r="H4" i="24"/>
  <c r="A16" i="24" s="1"/>
  <c r="N4" i="24"/>
  <c r="O15" i="24"/>
  <c r="I15" i="24"/>
  <c r="T4" i="24"/>
  <c r="D15" i="24" s="1"/>
  <c r="H4" i="25"/>
  <c r="N3" i="25" s="1"/>
  <c r="N4" i="25"/>
  <c r="O15" i="25"/>
  <c r="I15" i="25"/>
  <c r="T4" i="25"/>
  <c r="H4" i="26"/>
  <c r="N4" i="26"/>
  <c r="O15" i="26"/>
  <c r="I15" i="26"/>
  <c r="H4" i="27"/>
  <c r="N4" i="27"/>
  <c r="O15" i="27"/>
  <c r="I15" i="27"/>
  <c r="T4" i="27"/>
  <c r="D15" i="27" s="1"/>
  <c r="H4" i="19"/>
  <c r="A16" i="19" s="1"/>
  <c r="V16" i="19" s="1"/>
  <c r="N3" i="19"/>
  <c r="N4" i="19"/>
  <c r="O15" i="19"/>
  <c r="I15" i="19"/>
  <c r="T4" i="19"/>
  <c r="D15" i="19"/>
  <c r="B20" i="12"/>
  <c r="B33" i="12"/>
  <c r="B19" i="12"/>
  <c r="B32" i="12" s="1"/>
  <c r="B18" i="12"/>
  <c r="B31" i="12" s="1"/>
  <c r="B17" i="12"/>
  <c r="B30" i="12"/>
  <c r="D11" i="12"/>
  <c r="D12" i="12"/>
  <c r="D25" i="12" s="1"/>
  <c r="F11" i="12"/>
  <c r="F25" i="12" s="1"/>
  <c r="F12" i="12"/>
  <c r="H11" i="12"/>
  <c r="H29" i="12" s="1"/>
  <c r="H12" i="12"/>
  <c r="H25" i="12" s="1"/>
  <c r="D13" i="12"/>
  <c r="D26" i="12" s="1"/>
  <c r="F13" i="12"/>
  <c r="H13" i="12"/>
  <c r="D14" i="12"/>
  <c r="D27" i="12" s="1"/>
  <c r="F14" i="12"/>
  <c r="J14" i="12" s="1"/>
  <c r="H14" i="12"/>
  <c r="D15" i="12"/>
  <c r="F15" i="12"/>
  <c r="J15" i="12" s="1"/>
  <c r="H15" i="12"/>
  <c r="D16" i="12"/>
  <c r="D29" i="12"/>
  <c r="F16" i="12"/>
  <c r="H16" i="12"/>
  <c r="D17" i="12"/>
  <c r="D19" i="12"/>
  <c r="C416" i="17"/>
  <c r="C417" i="17"/>
  <c r="C10" i="17" s="1"/>
  <c r="F14" i="1"/>
  <c r="N10" i="1"/>
  <c r="N11" i="1"/>
  <c r="M26" i="1"/>
  <c r="N16" i="1"/>
  <c r="N15" i="1"/>
  <c r="N14" i="1"/>
  <c r="N13" i="1"/>
  <c r="N12" i="1"/>
  <c r="K17" i="1"/>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H3" i="1"/>
  <c r="M22" i="1"/>
  <c r="O10" i="25"/>
  <c r="P10" i="25" s="1"/>
  <c r="O10" i="27"/>
  <c r="P10" i="27" s="1"/>
  <c r="I10" i="20"/>
  <c r="J10" i="20" s="1"/>
  <c r="I10" i="24"/>
  <c r="J10" i="24" s="1"/>
  <c r="I10" i="27"/>
  <c r="J10" i="27" s="1"/>
  <c r="I10" i="29"/>
  <c r="J10" i="29" s="1"/>
  <c r="M42" i="12"/>
  <c r="M20" i="12"/>
  <c r="M33" i="12" s="1"/>
  <c r="M16" i="12"/>
  <c r="B16" i="12"/>
  <c r="B29" i="12" s="1"/>
  <c r="M15" i="12"/>
  <c r="B15" i="12"/>
  <c r="M14" i="12"/>
  <c r="B14" i="12"/>
  <c r="M13" i="12"/>
  <c r="M26" i="12" s="1"/>
  <c r="B13" i="12"/>
  <c r="M12" i="12"/>
  <c r="M25" i="12"/>
  <c r="B12" i="12"/>
  <c r="B25" i="12" s="1"/>
  <c r="M11" i="12"/>
  <c r="M31" i="12" s="1"/>
  <c r="C11" i="12"/>
  <c r="H3" i="29"/>
  <c r="T3" i="29"/>
  <c r="X3" i="29"/>
  <c r="X4" i="29"/>
  <c r="N7" i="29"/>
  <c r="C43" i="29"/>
  <c r="F43" i="29"/>
  <c r="I20" i="1"/>
  <c r="I23" i="1"/>
  <c r="N44" i="12" s="1"/>
  <c r="H3" i="27"/>
  <c r="T3" i="27"/>
  <c r="X3" i="27"/>
  <c r="X4" i="27"/>
  <c r="N7" i="27"/>
  <c r="F43" i="27"/>
  <c r="H3" i="26"/>
  <c r="T3" i="26"/>
  <c r="X3" i="26"/>
  <c r="X4" i="26"/>
  <c r="N7" i="26"/>
  <c r="F43" i="26"/>
  <c r="H3" i="25"/>
  <c r="T3" i="25"/>
  <c r="X3" i="25"/>
  <c r="X4" i="25"/>
  <c r="N7" i="25"/>
  <c r="F43" i="25"/>
  <c r="H3" i="24"/>
  <c r="T3" i="24"/>
  <c r="X3" i="24"/>
  <c r="X4" i="24"/>
  <c r="N7" i="24"/>
  <c r="F43" i="24"/>
  <c r="H3" i="23"/>
  <c r="T3" i="23"/>
  <c r="X3" i="23"/>
  <c r="X4" i="23"/>
  <c r="N7" i="23"/>
  <c r="C43" i="23"/>
  <c r="F43" i="23"/>
  <c r="H3" i="22"/>
  <c r="T3" i="22"/>
  <c r="X3" i="22"/>
  <c r="X4" i="22"/>
  <c r="N7" i="22"/>
  <c r="C43" i="22"/>
  <c r="F43" i="22"/>
  <c r="H3" i="21"/>
  <c r="T3" i="21"/>
  <c r="X3" i="21"/>
  <c r="X4" i="21"/>
  <c r="N7" i="21"/>
  <c r="C43" i="21"/>
  <c r="F43" i="21"/>
  <c r="H3" i="20"/>
  <c r="T3" i="20"/>
  <c r="X3" i="20"/>
  <c r="X4" i="20"/>
  <c r="N7" i="20"/>
  <c r="C43" i="20"/>
  <c r="F43" i="20"/>
  <c r="H3" i="19"/>
  <c r="T3" i="19"/>
  <c r="X3" i="19"/>
  <c r="X4" i="19"/>
  <c r="N7" i="19"/>
  <c r="C43" i="19"/>
  <c r="F43" i="19"/>
  <c r="X38" i="17"/>
  <c r="K445" i="17"/>
  <c r="K38" i="17" s="1"/>
  <c r="Y38" i="17" s="1"/>
  <c r="Z38" i="17"/>
  <c r="X37" i="17"/>
  <c r="K444" i="17"/>
  <c r="Z37" i="17"/>
  <c r="X36" i="17"/>
  <c r="K443" i="17"/>
  <c r="Z36" i="17"/>
  <c r="X35" i="17"/>
  <c r="K442" i="17"/>
  <c r="Z35" i="17"/>
  <c r="X34" i="17"/>
  <c r="Z34" i="17"/>
  <c r="H445" i="17"/>
  <c r="H38" i="17" s="1"/>
  <c r="V38" i="17" s="1"/>
  <c r="H444" i="17"/>
  <c r="H443" i="17"/>
  <c r="H442" i="17"/>
  <c r="H34" i="17" s="1"/>
  <c r="V34" i="17" s="1"/>
  <c r="H19" i="1"/>
  <c r="I17" i="1" s="1"/>
  <c r="A9" i="17"/>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N123" i="16"/>
  <c r="H10" i="16" s="1"/>
  <c r="H11" i="16" s="1"/>
  <c r="H12" i="16" s="1"/>
  <c r="H13" i="16" s="1"/>
  <c r="H14" i="16" s="1"/>
  <c r="H15" i="16" s="1"/>
  <c r="H16" i="16" s="1"/>
  <c r="H17" i="16" s="1"/>
  <c r="H18" i="16" s="1"/>
  <c r="H19" i="16" s="1"/>
  <c r="H20" i="16" s="1"/>
  <c r="H21" i="16" s="1"/>
  <c r="H22" i="16" s="1"/>
  <c r="H23" i="16" s="1"/>
  <c r="H24" i="16" s="1"/>
  <c r="H25" i="16" s="1"/>
  <c r="H26" i="16" s="1"/>
  <c r="H27" i="16" s="1"/>
  <c r="H28" i="16" s="1"/>
  <c r="H29" i="16" s="1"/>
  <c r="H30" i="16" s="1"/>
  <c r="H31" i="16" s="1"/>
  <c r="H32" i="16" s="1"/>
  <c r="H33" i="16" s="1"/>
  <c r="H34" i="16" s="1"/>
  <c r="H35" i="16" s="1"/>
  <c r="H36" i="16" s="1"/>
  <c r="H37" i="16" s="1"/>
  <c r="H38" i="16" s="1"/>
  <c r="H39" i="16" s="1"/>
  <c r="F445" i="17"/>
  <c r="F38" i="17" s="1"/>
  <c r="E445" i="17"/>
  <c r="E38" i="17" s="1"/>
  <c r="D445" i="17"/>
  <c r="D38" i="17" s="1"/>
  <c r="C445" i="17"/>
  <c r="C38" i="17" s="1"/>
  <c r="F444" i="17"/>
  <c r="E444" i="17"/>
  <c r="D444" i="17"/>
  <c r="C444" i="17"/>
  <c r="F443" i="17"/>
  <c r="E443" i="17"/>
  <c r="D443" i="17"/>
  <c r="C443" i="17"/>
  <c r="F442" i="17"/>
  <c r="F35" i="17" s="1"/>
  <c r="E442" i="17"/>
  <c r="E35" i="17" s="1"/>
  <c r="D442" i="17"/>
  <c r="C442" i="17"/>
  <c r="C35" i="17" s="1"/>
  <c r="F441" i="17"/>
  <c r="E441" i="17"/>
  <c r="D441" i="17"/>
  <c r="C441" i="17"/>
  <c r="F440" i="17"/>
  <c r="F33" i="17" s="1"/>
  <c r="E440" i="17"/>
  <c r="D440" i="17"/>
  <c r="D33" i="17" s="1"/>
  <c r="C440" i="17"/>
  <c r="F439" i="17"/>
  <c r="E439" i="17"/>
  <c r="D439" i="17"/>
  <c r="D32" i="17" s="1"/>
  <c r="C439" i="17"/>
  <c r="C31" i="17" s="1"/>
  <c r="F438" i="17"/>
  <c r="E438" i="17"/>
  <c r="E31" i="17"/>
  <c r="D438" i="17"/>
  <c r="C438" i="17"/>
  <c r="F437" i="17"/>
  <c r="E437" i="17"/>
  <c r="E30" i="17"/>
  <c r="D437" i="17"/>
  <c r="D30" i="17" s="1"/>
  <c r="C437" i="17"/>
  <c r="C30" i="17"/>
  <c r="F436" i="17"/>
  <c r="E436" i="17"/>
  <c r="D436" i="17"/>
  <c r="D28" i="17" s="1"/>
  <c r="C436" i="17"/>
  <c r="F435" i="17"/>
  <c r="E435" i="17"/>
  <c r="D435" i="17"/>
  <c r="C435" i="17"/>
  <c r="F434" i="17"/>
  <c r="E434" i="17"/>
  <c r="D434" i="17"/>
  <c r="D27" i="17" s="1"/>
  <c r="C434" i="17"/>
  <c r="C26" i="17" s="1"/>
  <c r="F433" i="17"/>
  <c r="E433" i="17"/>
  <c r="E26" i="17" s="1"/>
  <c r="D433" i="17"/>
  <c r="D26" i="17" s="1"/>
  <c r="C433" i="17"/>
  <c r="F432" i="17"/>
  <c r="E432" i="17"/>
  <c r="D432" i="17"/>
  <c r="C432" i="17"/>
  <c r="C25" i="17" s="1"/>
  <c r="F431" i="17"/>
  <c r="E431" i="17"/>
  <c r="D431" i="17"/>
  <c r="C431" i="17"/>
  <c r="F430" i="17"/>
  <c r="E430" i="17"/>
  <c r="D430" i="17"/>
  <c r="C430" i="17"/>
  <c r="C22" i="17" s="1"/>
  <c r="F429" i="17"/>
  <c r="E429" i="17"/>
  <c r="D429" i="17"/>
  <c r="C429" i="17"/>
  <c r="F428" i="17"/>
  <c r="E428" i="17"/>
  <c r="D428" i="17"/>
  <c r="C428" i="17"/>
  <c r="C20" i="17" s="1"/>
  <c r="F427" i="17"/>
  <c r="E427" i="17"/>
  <c r="D427" i="17"/>
  <c r="C427" i="17"/>
  <c r="F426" i="17"/>
  <c r="E426" i="17"/>
  <c r="E19" i="17" s="1"/>
  <c r="D426" i="17"/>
  <c r="C426" i="17"/>
  <c r="C19" i="17" s="1"/>
  <c r="F425" i="17"/>
  <c r="E425" i="17"/>
  <c r="D425" i="17"/>
  <c r="C425" i="17"/>
  <c r="F424" i="17"/>
  <c r="E424" i="17"/>
  <c r="E16" i="17" s="1"/>
  <c r="D424" i="17"/>
  <c r="D16" i="17" s="1"/>
  <c r="C424" i="17"/>
  <c r="F423" i="17"/>
  <c r="E423" i="17"/>
  <c r="D423" i="17"/>
  <c r="C423" i="17"/>
  <c r="F422" i="17"/>
  <c r="E422" i="17"/>
  <c r="E14" i="17" s="1"/>
  <c r="D422" i="17"/>
  <c r="C422" i="17"/>
  <c r="C15" i="17" s="1"/>
  <c r="F421" i="17"/>
  <c r="E421" i="17"/>
  <c r="D421" i="17"/>
  <c r="C421" i="17"/>
  <c r="F420" i="17"/>
  <c r="E420" i="17"/>
  <c r="D420" i="17"/>
  <c r="C420" i="17"/>
  <c r="F419" i="17"/>
  <c r="E419" i="17"/>
  <c r="D419" i="17"/>
  <c r="C419" i="17"/>
  <c r="F418" i="17"/>
  <c r="F11" i="17" s="1"/>
  <c r="E418" i="17"/>
  <c r="E11" i="17" s="1"/>
  <c r="D418" i="17"/>
  <c r="C418" i="17"/>
  <c r="F417" i="17"/>
  <c r="E417" i="17"/>
  <c r="D417" i="17"/>
  <c r="F416" i="17"/>
  <c r="E416" i="17"/>
  <c r="D416" i="17"/>
  <c r="R445" i="17"/>
  <c r="Q445" i="17"/>
  <c r="Q38" i="17" s="1"/>
  <c r="P445" i="17"/>
  <c r="P38" i="17"/>
  <c r="O445" i="17"/>
  <c r="O38" i="17" s="1"/>
  <c r="N445" i="17"/>
  <c r="N38" i="17" s="1"/>
  <c r="R444" i="17"/>
  <c r="R37" i="17" s="1"/>
  <c r="Q444" i="17"/>
  <c r="P444" i="17"/>
  <c r="O444" i="17"/>
  <c r="N444" i="17"/>
  <c r="R443" i="17"/>
  <c r="Q443" i="17"/>
  <c r="Q36" i="17" s="1"/>
  <c r="P443" i="17"/>
  <c r="O443" i="17"/>
  <c r="N443" i="17"/>
  <c r="N36" i="17" s="1"/>
  <c r="R442" i="17"/>
  <c r="Q442" i="17"/>
  <c r="P442" i="17"/>
  <c r="O442" i="17"/>
  <c r="N442" i="17"/>
  <c r="R441" i="17"/>
  <c r="R33" i="17" s="1"/>
  <c r="Q441" i="17"/>
  <c r="P441" i="17"/>
  <c r="O441" i="17"/>
  <c r="O34" i="17" s="1"/>
  <c r="N441" i="17"/>
  <c r="R440" i="17"/>
  <c r="Q440" i="17"/>
  <c r="P440" i="17"/>
  <c r="O440" i="17"/>
  <c r="O32" i="17" s="1"/>
  <c r="N440" i="17"/>
  <c r="N33" i="17" s="1"/>
  <c r="R439" i="17"/>
  <c r="R32" i="17" s="1"/>
  <c r="Q439" i="17"/>
  <c r="P439" i="17"/>
  <c r="O439" i="17"/>
  <c r="N439" i="17"/>
  <c r="R438" i="17"/>
  <c r="Q438" i="17"/>
  <c r="Q30" i="17" s="1"/>
  <c r="P438" i="17"/>
  <c r="P31" i="17" s="1"/>
  <c r="O438" i="17"/>
  <c r="O31" i="17" s="1"/>
  <c r="N438" i="17"/>
  <c r="R437" i="17"/>
  <c r="Q437" i="17"/>
  <c r="P437" i="17"/>
  <c r="O437" i="17"/>
  <c r="N437" i="17"/>
  <c r="N30" i="17" s="1"/>
  <c r="R436" i="17"/>
  <c r="R29" i="17" s="1"/>
  <c r="Q436" i="17"/>
  <c r="P436" i="17"/>
  <c r="O436" i="17"/>
  <c r="N436" i="17"/>
  <c r="R435" i="17"/>
  <c r="Q435" i="17"/>
  <c r="Q27" i="17" s="1"/>
  <c r="Q28" i="17"/>
  <c r="P435" i="17"/>
  <c r="O435" i="17"/>
  <c r="N435" i="17"/>
  <c r="R434" i="17"/>
  <c r="Q434" i="17"/>
  <c r="P434" i="17"/>
  <c r="O434" i="17"/>
  <c r="N434" i="17"/>
  <c r="N27" i="17" s="1"/>
  <c r="R433" i="17"/>
  <c r="R26" i="17" s="1"/>
  <c r="Q433" i="17"/>
  <c r="P433" i="17"/>
  <c r="P26" i="17" s="1"/>
  <c r="O433" i="17"/>
  <c r="N433" i="17"/>
  <c r="R432" i="17"/>
  <c r="Q432" i="17"/>
  <c r="Q25" i="17" s="1"/>
  <c r="P432" i="17"/>
  <c r="P25" i="17" s="1"/>
  <c r="O432" i="17"/>
  <c r="N432" i="17"/>
  <c r="N25" i="17" s="1"/>
  <c r="R431" i="17"/>
  <c r="Q431" i="17"/>
  <c r="P431" i="17"/>
  <c r="O431" i="17"/>
  <c r="N431" i="17"/>
  <c r="R430" i="17"/>
  <c r="R22" i="17" s="1"/>
  <c r="Q430" i="17"/>
  <c r="P430" i="17"/>
  <c r="P23" i="17" s="1"/>
  <c r="O430" i="17"/>
  <c r="N430" i="17"/>
  <c r="R429" i="17"/>
  <c r="Q429" i="17"/>
  <c r="P429" i="17"/>
  <c r="P22" i="17" s="1"/>
  <c r="O429" i="17"/>
  <c r="O22" i="17" s="1"/>
  <c r="N429" i="17"/>
  <c r="N22" i="17" s="1"/>
  <c r="R428" i="17"/>
  <c r="R21" i="17" s="1"/>
  <c r="Q428" i="17"/>
  <c r="P428" i="17"/>
  <c r="O428" i="17"/>
  <c r="N428" i="17"/>
  <c r="R427" i="17"/>
  <c r="Q427" i="17"/>
  <c r="Q20" i="17" s="1"/>
  <c r="P427" i="17"/>
  <c r="O427" i="17"/>
  <c r="N427" i="17"/>
  <c r="R426" i="17"/>
  <c r="Q426" i="17"/>
  <c r="P426" i="17"/>
  <c r="O426" i="17"/>
  <c r="O18" i="17" s="1"/>
  <c r="N426" i="17"/>
  <c r="N18" i="17" s="1"/>
  <c r="R425" i="17"/>
  <c r="R18" i="17" s="1"/>
  <c r="Q425" i="17"/>
  <c r="P425" i="17"/>
  <c r="O425" i="17"/>
  <c r="N425" i="17"/>
  <c r="R424" i="17"/>
  <c r="R16" i="17"/>
  <c r="Q424" i="17"/>
  <c r="P424" i="17"/>
  <c r="O424" i="17"/>
  <c r="O17" i="17" s="1"/>
  <c r="N424" i="17"/>
  <c r="N17" i="17" s="1"/>
  <c r="R423" i="17"/>
  <c r="Q423" i="17"/>
  <c r="P423" i="17"/>
  <c r="O423" i="17"/>
  <c r="O16" i="17" s="1"/>
  <c r="N423" i="17"/>
  <c r="R422" i="17"/>
  <c r="Q422" i="17"/>
  <c r="P422" i="17"/>
  <c r="O422" i="17"/>
  <c r="N422" i="17"/>
  <c r="R421" i="17"/>
  <c r="Q421" i="17"/>
  <c r="P421" i="17"/>
  <c r="O421" i="17"/>
  <c r="N421" i="17"/>
  <c r="R420" i="17"/>
  <c r="Q420" i="17"/>
  <c r="P420" i="17"/>
  <c r="O420" i="17"/>
  <c r="N420" i="17"/>
  <c r="N12" i="17" s="1"/>
  <c r="R419" i="17"/>
  <c r="Q419" i="17"/>
  <c r="P419" i="17"/>
  <c r="O419" i="17"/>
  <c r="O12" i="17" s="1"/>
  <c r="N419" i="17"/>
  <c r="R418" i="17"/>
  <c r="Q418" i="17"/>
  <c r="P418" i="17"/>
  <c r="P11" i="17" s="1"/>
  <c r="O418" i="17"/>
  <c r="O11" i="17" s="1"/>
  <c r="N418" i="17"/>
  <c r="R417" i="17"/>
  <c r="Q417" i="17"/>
  <c r="P417" i="17"/>
  <c r="O417" i="17"/>
  <c r="N417" i="17"/>
  <c r="N10" i="17" s="1"/>
  <c r="R416" i="17"/>
  <c r="Q416" i="17"/>
  <c r="Q9" i="17" s="1"/>
  <c r="P416" i="17"/>
  <c r="O416" i="17"/>
  <c r="N416" i="17"/>
  <c r="L445" i="17"/>
  <c r="L38" i="17"/>
  <c r="J445" i="17"/>
  <c r="J38" i="17" s="1"/>
  <c r="I445" i="17"/>
  <c r="I38" i="17"/>
  <c r="L444" i="17"/>
  <c r="J444" i="17"/>
  <c r="I444" i="17"/>
  <c r="L443" i="17"/>
  <c r="J443" i="17"/>
  <c r="I443" i="17"/>
  <c r="L442" i="17"/>
  <c r="L34" i="17" s="1"/>
  <c r="J442" i="17"/>
  <c r="I442" i="17"/>
  <c r="L441" i="17"/>
  <c r="J441" i="17"/>
  <c r="I441" i="17"/>
  <c r="L440" i="17"/>
  <c r="L33" i="17" s="1"/>
  <c r="J440" i="17"/>
  <c r="J33" i="17" s="1"/>
  <c r="I440" i="17"/>
  <c r="I33" i="17" s="1"/>
  <c r="L439" i="17"/>
  <c r="J439" i="17"/>
  <c r="I439" i="17"/>
  <c r="L438" i="17"/>
  <c r="J438" i="17"/>
  <c r="J31" i="17" s="1"/>
  <c r="I438" i="17"/>
  <c r="I30" i="17" s="1"/>
  <c r="L437" i="17"/>
  <c r="L30" i="17" s="1"/>
  <c r="J437" i="17"/>
  <c r="I437" i="17"/>
  <c r="L436" i="17"/>
  <c r="J436" i="17"/>
  <c r="I436" i="17"/>
  <c r="L435" i="17"/>
  <c r="J435" i="17"/>
  <c r="J27" i="17" s="1"/>
  <c r="I435" i="17"/>
  <c r="I28" i="17" s="1"/>
  <c r="L434" i="17"/>
  <c r="L26" i="17" s="1"/>
  <c r="J434" i="17"/>
  <c r="I434" i="17"/>
  <c r="L433" i="17"/>
  <c r="J433" i="17"/>
  <c r="I433" i="17"/>
  <c r="L432" i="17"/>
  <c r="J432" i="17"/>
  <c r="J24" i="17" s="1"/>
  <c r="I432" i="17"/>
  <c r="L431" i="17"/>
  <c r="J431" i="17"/>
  <c r="I431" i="17"/>
  <c r="L430" i="17"/>
  <c r="J430" i="17"/>
  <c r="J23" i="17" s="1"/>
  <c r="I430" i="17"/>
  <c r="L429" i="17"/>
  <c r="L22" i="17"/>
  <c r="J429" i="17"/>
  <c r="I429" i="17"/>
  <c r="L428" i="17"/>
  <c r="J428" i="17"/>
  <c r="I428" i="17"/>
  <c r="L427" i="17"/>
  <c r="J427" i="17"/>
  <c r="I427" i="17"/>
  <c r="L426" i="17"/>
  <c r="J426" i="17"/>
  <c r="I426" i="17"/>
  <c r="L425" i="17"/>
  <c r="J425" i="17"/>
  <c r="I425" i="17"/>
  <c r="L424" i="17"/>
  <c r="J424" i="17"/>
  <c r="I424" i="17"/>
  <c r="L423" i="17"/>
  <c r="J423" i="17"/>
  <c r="I423" i="17"/>
  <c r="L422" i="17"/>
  <c r="J422" i="17"/>
  <c r="I422" i="17"/>
  <c r="L421" i="17"/>
  <c r="L13" i="17" s="1"/>
  <c r="J421" i="17"/>
  <c r="I421" i="17"/>
  <c r="L420" i="17"/>
  <c r="J420" i="17"/>
  <c r="I420" i="17"/>
  <c r="I13" i="17" s="1"/>
  <c r="L419" i="17"/>
  <c r="J419" i="17"/>
  <c r="I419" i="17"/>
  <c r="I12" i="17" s="1"/>
  <c r="L418" i="17"/>
  <c r="J418" i="17"/>
  <c r="I418" i="17"/>
  <c r="L417" i="17"/>
  <c r="J417" i="17"/>
  <c r="I417" i="17"/>
  <c r="L416" i="17"/>
  <c r="J416" i="17"/>
  <c r="I416" i="17"/>
  <c r="V7" i="17"/>
  <c r="W7" i="17"/>
  <c r="D26" i="1"/>
  <c r="I26" i="1"/>
  <c r="I27" i="1"/>
  <c r="I28" i="1"/>
  <c r="A445" i="17"/>
  <c r="T445" i="17" s="1"/>
  <c r="A444" i="17"/>
  <c r="T444" i="17" s="1"/>
  <c r="A443" i="17"/>
  <c r="T443" i="17" s="1"/>
  <c r="A442" i="17"/>
  <c r="T442" i="17" s="1"/>
  <c r="A441" i="17"/>
  <c r="T441" i="17"/>
  <c r="A440" i="17"/>
  <c r="T440" i="17"/>
  <c r="A439" i="17"/>
  <c r="T439" i="17" s="1"/>
  <c r="A438" i="17"/>
  <c r="T438" i="17" s="1"/>
  <c r="A437" i="17"/>
  <c r="T437" i="17" s="1"/>
  <c r="A436" i="17"/>
  <c r="T436" i="17" s="1"/>
  <c r="A435" i="17"/>
  <c r="T435" i="17" s="1"/>
  <c r="A434" i="17"/>
  <c r="T434" i="17" s="1"/>
  <c r="A433" i="17"/>
  <c r="T433" i="17" s="1"/>
  <c r="A432" i="17"/>
  <c r="T432" i="17" s="1"/>
  <c r="A431" i="17"/>
  <c r="T431" i="17" s="1"/>
  <c r="A430" i="17"/>
  <c r="T430" i="17" s="1"/>
  <c r="A429" i="17"/>
  <c r="T429" i="17"/>
  <c r="A428" i="17"/>
  <c r="T428" i="17" s="1"/>
  <c r="A427" i="17"/>
  <c r="T427" i="17" s="1"/>
  <c r="A426" i="17"/>
  <c r="T426" i="17" s="1"/>
  <c r="A425" i="17"/>
  <c r="T425" i="17"/>
  <c r="A424" i="17"/>
  <c r="T424" i="17" s="1"/>
  <c r="A423" i="17"/>
  <c r="T423" i="17" s="1"/>
  <c r="A422" i="17"/>
  <c r="T422" i="17" s="1"/>
  <c r="A421" i="17"/>
  <c r="T421" i="17" s="1"/>
  <c r="A420" i="17"/>
  <c r="T420" i="17" s="1"/>
  <c r="A419" i="17"/>
  <c r="T419" i="17" s="1"/>
  <c r="A418" i="17"/>
  <c r="T418" i="17"/>
  <c r="A417" i="17"/>
  <c r="T417" i="17" s="1"/>
  <c r="A416" i="17"/>
  <c r="T416" i="17" s="1"/>
  <c r="A415" i="17"/>
  <c r="T415" i="17" s="1"/>
  <c r="R415" i="17"/>
  <c r="Q415" i="17"/>
  <c r="P415" i="17"/>
  <c r="O415" i="17"/>
  <c r="N415" i="17"/>
  <c r="L415" i="17"/>
  <c r="K415" i="17"/>
  <c r="J415" i="17"/>
  <c r="I415" i="17"/>
  <c r="H415" i="17"/>
  <c r="F415" i="17"/>
  <c r="E415" i="17"/>
  <c r="D415" i="17"/>
  <c r="C415" i="17"/>
  <c r="C8" i="17"/>
  <c r="A8" i="17"/>
  <c r="A412" i="17"/>
  <c r="A411" i="17"/>
  <c r="A410" i="17"/>
  <c r="A3" i="17"/>
  <c r="R8" i="17"/>
  <c r="Q8" i="17"/>
  <c r="P8" i="17"/>
  <c r="O8" i="17"/>
  <c r="N8" i="17"/>
  <c r="L8" i="17"/>
  <c r="K8" i="17"/>
  <c r="J8" i="17"/>
  <c r="I8" i="17"/>
  <c r="F8" i="17"/>
  <c r="E8" i="17"/>
  <c r="D8" i="17"/>
  <c r="A5" i="17"/>
  <c r="A4" i="17"/>
  <c r="M3" i="16"/>
  <c r="M83" i="16" s="1"/>
  <c r="E9" i="16"/>
  <c r="F9" i="16"/>
  <c r="D169" i="16"/>
  <c r="E169" i="16"/>
  <c r="F169" i="16"/>
  <c r="H169" i="16"/>
  <c r="I169" i="16"/>
  <c r="J169" i="16"/>
  <c r="K169" i="16"/>
  <c r="L169" i="16"/>
  <c r="N169" i="16"/>
  <c r="O169" i="16"/>
  <c r="P169" i="16"/>
  <c r="Q169" i="16"/>
  <c r="R169" i="16"/>
  <c r="C169" i="16"/>
  <c r="D89" i="16"/>
  <c r="E89" i="16"/>
  <c r="F89" i="16"/>
  <c r="H89" i="16"/>
  <c r="I89" i="16"/>
  <c r="J89" i="16"/>
  <c r="K89" i="16"/>
  <c r="L89" i="16"/>
  <c r="N89" i="16"/>
  <c r="O89" i="16"/>
  <c r="P89" i="16"/>
  <c r="Q89" i="16"/>
  <c r="R89" i="16"/>
  <c r="C89" i="16"/>
  <c r="Q10" i="16"/>
  <c r="Q11" i="16" s="1"/>
  <c r="Q12" i="16" s="1"/>
  <c r="Q13" i="16" s="1"/>
  <c r="Q14" i="16" s="1"/>
  <c r="Q15" i="16" s="1"/>
  <c r="Q16" i="16" s="1"/>
  <c r="Q17" i="16" s="1"/>
  <c r="Q18" i="16" s="1"/>
  <c r="Q19" i="16" s="1"/>
  <c r="Q20" i="16" s="1"/>
  <c r="Q21" i="16" s="1"/>
  <c r="Q22" i="16" s="1"/>
  <c r="Q23" i="16" s="1"/>
  <c r="Q24" i="16" s="1"/>
  <c r="Q25" i="16" s="1"/>
  <c r="Q26" i="16" s="1"/>
  <c r="Q27" i="16" s="1"/>
  <c r="Q28" i="16" s="1"/>
  <c r="Q29" i="16" s="1"/>
  <c r="Q30" i="16" s="1"/>
  <c r="Q31" i="16" s="1"/>
  <c r="Q32" i="16" s="1"/>
  <c r="Q33" i="16" s="1"/>
  <c r="Q34" i="16" s="1"/>
  <c r="Q35" i="16" s="1"/>
  <c r="Q36" i="16" s="1"/>
  <c r="Q37" i="16" s="1"/>
  <c r="Q38" i="16" s="1"/>
  <c r="Q39" i="16" s="1"/>
  <c r="O10" i="16"/>
  <c r="O11" i="16" s="1"/>
  <c r="O12" i="16" s="1"/>
  <c r="L10" i="16"/>
  <c r="L11" i="16"/>
  <c r="L12" i="16" s="1"/>
  <c r="L13" i="16" s="1"/>
  <c r="L14" i="16" s="1"/>
  <c r="L15" i="16" s="1"/>
  <c r="L16" i="16" s="1"/>
  <c r="L17" i="16" s="1"/>
  <c r="L18" i="16" s="1"/>
  <c r="L19" i="16" s="1"/>
  <c r="L20" i="16" s="1"/>
  <c r="L21" i="16" s="1"/>
  <c r="L22" i="16" s="1"/>
  <c r="L23" i="16" s="1"/>
  <c r="L24" i="16" s="1"/>
  <c r="L25" i="16" s="1"/>
  <c r="L26" i="16" s="1"/>
  <c r="L27" i="16" s="1"/>
  <c r="L28" i="16" s="1"/>
  <c r="L29" i="16" s="1"/>
  <c r="L30" i="16" s="1"/>
  <c r="L31" i="16" s="1"/>
  <c r="L32" i="16" s="1"/>
  <c r="L33" i="16" s="1"/>
  <c r="L34" i="16" s="1"/>
  <c r="L35" i="16" s="1"/>
  <c r="L36" i="16" s="1"/>
  <c r="L37" i="16" s="1"/>
  <c r="L38" i="16" s="1"/>
  <c r="L39" i="16" s="1"/>
  <c r="J10" i="16"/>
  <c r="D10" i="16"/>
  <c r="D11" i="16" s="1"/>
  <c r="D12" i="16" s="1"/>
  <c r="D13" i="16" s="1"/>
  <c r="D14" i="16" s="1"/>
  <c r="D15" i="16" s="1"/>
  <c r="D16" i="16" s="1"/>
  <c r="D17" i="16" s="1"/>
  <c r="D18" i="16" s="1"/>
  <c r="D19" i="16" s="1"/>
  <c r="D20" i="16" s="1"/>
  <c r="D21" i="16" s="1"/>
  <c r="D22" i="16" s="1"/>
  <c r="D23" i="16" s="1"/>
  <c r="D24" i="16" s="1"/>
  <c r="D25" i="16" s="1"/>
  <c r="D26" i="16" s="1"/>
  <c r="D27" i="16" s="1"/>
  <c r="D28" i="16" s="1"/>
  <c r="D29" i="16" s="1"/>
  <c r="D30" i="16" s="1"/>
  <c r="D31" i="16" s="1"/>
  <c r="D32" i="16" s="1"/>
  <c r="D33" i="16" s="1"/>
  <c r="D34" i="16" s="1"/>
  <c r="D35" i="16" s="1"/>
  <c r="D36" i="16" s="1"/>
  <c r="D37" i="16" s="1"/>
  <c r="D38" i="16" s="1"/>
  <c r="D39" i="16" s="1"/>
  <c r="E10" i="16"/>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D9" i="16"/>
  <c r="H9" i="16"/>
  <c r="I9" i="16"/>
  <c r="J9" i="16"/>
  <c r="K9" i="16"/>
  <c r="L9" i="16"/>
  <c r="N9" i="16"/>
  <c r="O9" i="16"/>
  <c r="P9" i="16"/>
  <c r="Q9" i="16"/>
  <c r="R9" i="16"/>
  <c r="C9" i="16"/>
  <c r="D49" i="16"/>
  <c r="E49" i="16"/>
  <c r="F49" i="16"/>
  <c r="H49" i="16"/>
  <c r="I49" i="16"/>
  <c r="J49" i="16"/>
  <c r="K49" i="16"/>
  <c r="L49" i="16"/>
  <c r="N49" i="16"/>
  <c r="O49" i="16"/>
  <c r="P49" i="16"/>
  <c r="Q49" i="16"/>
  <c r="R49" i="16"/>
  <c r="C49" i="16"/>
  <c r="R50" i="16"/>
  <c r="R51" i="16" s="1"/>
  <c r="R52" i="16" s="1"/>
  <c r="R53" i="16" s="1"/>
  <c r="R54" i="16" s="1"/>
  <c r="R55" i="16" s="1"/>
  <c r="R56" i="16" s="1"/>
  <c r="R57" i="16" s="1"/>
  <c r="R58" i="16" s="1"/>
  <c r="R59" i="16" s="1"/>
  <c r="R60" i="16" s="1"/>
  <c r="R61" i="16" s="1"/>
  <c r="R62" i="16" s="1"/>
  <c r="R63" i="16" s="1"/>
  <c r="R64" i="16" s="1"/>
  <c r="R65" i="16" s="1"/>
  <c r="R66" i="16" s="1"/>
  <c r="R67" i="16" s="1"/>
  <c r="R68" i="16" s="1"/>
  <c r="R69" i="16" s="1"/>
  <c r="R70" i="16" s="1"/>
  <c r="R71" i="16" s="1"/>
  <c r="R72" i="16" s="1"/>
  <c r="R73" i="16" s="1"/>
  <c r="R74" i="16" s="1"/>
  <c r="R75" i="16" s="1"/>
  <c r="R76" i="16" s="1"/>
  <c r="R77" i="16" s="1"/>
  <c r="R78" i="16" s="1"/>
  <c r="R79" i="16" s="1"/>
  <c r="N50" i="16"/>
  <c r="N51" i="16" s="1"/>
  <c r="N52" i="16" s="1"/>
  <c r="N53" i="16" s="1"/>
  <c r="N54" i="16" s="1"/>
  <c r="N55" i="16" s="1"/>
  <c r="N56" i="16" s="1"/>
  <c r="N57" i="16" s="1"/>
  <c r="N58" i="16" s="1"/>
  <c r="N59" i="16" s="1"/>
  <c r="N60" i="16" s="1"/>
  <c r="N61" i="16" s="1"/>
  <c r="N62" i="16" s="1"/>
  <c r="N63" i="16" s="1"/>
  <c r="N64" i="16" s="1"/>
  <c r="N65" i="16" s="1"/>
  <c r="N66" i="16" s="1"/>
  <c r="N67" i="16" s="1"/>
  <c r="N68" i="16" s="1"/>
  <c r="N69" i="16" s="1"/>
  <c r="N70" i="16" s="1"/>
  <c r="N71" i="16" s="1"/>
  <c r="N72" i="16" s="1"/>
  <c r="N73" i="16" s="1"/>
  <c r="N74" i="16" s="1"/>
  <c r="N75" i="16" s="1"/>
  <c r="N76" i="16" s="1"/>
  <c r="N77" i="16" s="1"/>
  <c r="N78" i="16" s="1"/>
  <c r="N79" i="16" s="1"/>
  <c r="K50" i="16"/>
  <c r="I50" i="16"/>
  <c r="I51" i="16" s="1"/>
  <c r="C50" i="16"/>
  <c r="C51" i="16" s="1"/>
  <c r="C52" i="16" s="1"/>
  <c r="C53" i="16" s="1"/>
  <c r="C54" i="16" s="1"/>
  <c r="C55" i="16" s="1"/>
  <c r="C56" i="16" s="1"/>
  <c r="C57" i="16" s="1"/>
  <c r="C58" i="16" s="1"/>
  <c r="C59" i="16" s="1"/>
  <c r="C60" i="16" s="1"/>
  <c r="C61" i="16" s="1"/>
  <c r="C62" i="16" s="1"/>
  <c r="C63" i="16" s="1"/>
  <c r="C64" i="16" s="1"/>
  <c r="C65" i="16" s="1"/>
  <c r="C66" i="16" s="1"/>
  <c r="C67" i="16" s="1"/>
  <c r="C68" i="16" s="1"/>
  <c r="C69" i="16" s="1"/>
  <c r="C70" i="16" s="1"/>
  <c r="C71" i="16" s="1"/>
  <c r="C72" i="16" s="1"/>
  <c r="C73" i="16" s="1"/>
  <c r="C74" i="16" s="1"/>
  <c r="C75" i="16" s="1"/>
  <c r="C76" i="16" s="1"/>
  <c r="C77" i="16" s="1"/>
  <c r="C78" i="16" s="1"/>
  <c r="C79" i="16" s="1"/>
  <c r="R90" i="16"/>
  <c r="R91" i="16" s="1"/>
  <c r="R92" i="16" s="1"/>
  <c r="R93" i="16" s="1"/>
  <c r="R94" i="16" s="1"/>
  <c r="R95" i="16" s="1"/>
  <c r="R96" i="16" s="1"/>
  <c r="R97" i="16" s="1"/>
  <c r="R98" i="16" s="1"/>
  <c r="R99" i="16" s="1"/>
  <c r="R100" i="16" s="1"/>
  <c r="R101" i="16" s="1"/>
  <c r="R102" i="16" s="1"/>
  <c r="R103" i="16" s="1"/>
  <c r="R104" i="16" s="1"/>
  <c r="R105" i="16" s="1"/>
  <c r="R106" i="16" s="1"/>
  <c r="R107" i="16" s="1"/>
  <c r="R108" i="16" s="1"/>
  <c r="R109" i="16" s="1"/>
  <c r="R110" i="16" s="1"/>
  <c r="R111" i="16" s="1"/>
  <c r="R112" i="16" s="1"/>
  <c r="R113" i="16" s="1"/>
  <c r="R114" i="16" s="1"/>
  <c r="R115" i="16" s="1"/>
  <c r="R116" i="16" s="1"/>
  <c r="R117" i="16" s="1"/>
  <c r="R118" i="16" s="1"/>
  <c r="R119" i="16" s="1"/>
  <c r="N90" i="16"/>
  <c r="N91" i="16" s="1"/>
  <c r="N92" i="16" s="1"/>
  <c r="N93" i="16" s="1"/>
  <c r="N94" i="16" s="1"/>
  <c r="N95" i="16" s="1"/>
  <c r="N96" i="16" s="1"/>
  <c r="N97" i="16" s="1"/>
  <c r="N98" i="16" s="1"/>
  <c r="N99" i="16" s="1"/>
  <c r="N100" i="16" s="1"/>
  <c r="K90" i="16"/>
  <c r="K91" i="16" s="1"/>
  <c r="I90" i="16"/>
  <c r="I91" i="16" s="1"/>
  <c r="I92" i="16" s="1"/>
  <c r="I93" i="16" s="1"/>
  <c r="I94" i="16" s="1"/>
  <c r="I95" i="16" s="1"/>
  <c r="I96" i="16" s="1"/>
  <c r="I97" i="16" s="1"/>
  <c r="I98" i="16" s="1"/>
  <c r="I99" i="16" s="1"/>
  <c r="I100" i="16" s="1"/>
  <c r="I101" i="16" s="1"/>
  <c r="I102" i="16" s="1"/>
  <c r="I103" i="16" s="1"/>
  <c r="I104" i="16" s="1"/>
  <c r="I105" i="16" s="1"/>
  <c r="I106" i="16" s="1"/>
  <c r="I107" i="16" s="1"/>
  <c r="I108" i="16" s="1"/>
  <c r="I109" i="16" s="1"/>
  <c r="I110" i="16" s="1"/>
  <c r="I111" i="16" s="1"/>
  <c r="I112" i="16" s="1"/>
  <c r="I113" i="16" s="1"/>
  <c r="I114" i="16" s="1"/>
  <c r="I115" i="16" s="1"/>
  <c r="I116" i="16" s="1"/>
  <c r="I117" i="16" s="1"/>
  <c r="I118" i="16" s="1"/>
  <c r="I119" i="16" s="1"/>
  <c r="C90" i="16"/>
  <c r="C91" i="16" s="1"/>
  <c r="C92" i="16" s="1"/>
  <c r="C93" i="16" s="1"/>
  <c r="C94" i="16" s="1"/>
  <c r="C95" i="16" s="1"/>
  <c r="C96" i="16" s="1"/>
  <c r="C97" i="16" s="1"/>
  <c r="C98" i="16" s="1"/>
  <c r="C99" i="16" s="1"/>
  <c r="C100" i="16" s="1"/>
  <c r="C101" i="16" s="1"/>
  <c r="C102" i="16" s="1"/>
  <c r="C103" i="16" s="1"/>
  <c r="C104" i="16" s="1"/>
  <c r="C105" i="16" s="1"/>
  <c r="C106" i="16" s="1"/>
  <c r="C107" i="16" s="1"/>
  <c r="C108" i="16" s="1"/>
  <c r="C109" i="16" s="1"/>
  <c r="C110" i="16" s="1"/>
  <c r="C111" i="16" s="1"/>
  <c r="C112" i="16" s="1"/>
  <c r="C113" i="16" s="1"/>
  <c r="C114" i="16" s="1"/>
  <c r="C115" i="16" s="1"/>
  <c r="C116" i="16" s="1"/>
  <c r="C117" i="16" s="1"/>
  <c r="C118" i="16" s="1"/>
  <c r="C119" i="16" s="1"/>
  <c r="F90" i="16"/>
  <c r="F91" i="16" s="1"/>
  <c r="F92" i="16" s="1"/>
  <c r="F93" i="16" s="1"/>
  <c r="F94" i="16" s="1"/>
  <c r="F95" i="16" s="1"/>
  <c r="F96" i="16" s="1"/>
  <c r="F97" i="16" s="1"/>
  <c r="F98" i="16" s="1"/>
  <c r="F99" i="16" s="1"/>
  <c r="F100" i="16" s="1"/>
  <c r="F101" i="16" s="1"/>
  <c r="F102" i="16" s="1"/>
  <c r="F103" i="16" s="1"/>
  <c r="F104" i="16" s="1"/>
  <c r="F105" i="16" s="1"/>
  <c r="F106" i="16" s="1"/>
  <c r="F107" i="16" s="1"/>
  <c r="F108" i="16" s="1"/>
  <c r="F109" i="16" s="1"/>
  <c r="F110" i="16" s="1"/>
  <c r="F111" i="16" s="1"/>
  <c r="F112" i="16" s="1"/>
  <c r="F113" i="16" s="1"/>
  <c r="F114" i="16" s="1"/>
  <c r="F115" i="16" s="1"/>
  <c r="F116" i="16" s="1"/>
  <c r="F117" i="16" s="1"/>
  <c r="F118" i="16" s="1"/>
  <c r="F119" i="16" s="1"/>
  <c r="R170" i="16"/>
  <c r="R171" i="16" s="1"/>
  <c r="R172" i="16" s="1"/>
  <c r="R173" i="16" s="1"/>
  <c r="R174" i="16" s="1"/>
  <c r="R175" i="16" s="1"/>
  <c r="R176" i="16" s="1"/>
  <c r="R177" i="16" s="1"/>
  <c r="R178" i="16" s="1"/>
  <c r="R179" i="16" s="1"/>
  <c r="R180" i="16" s="1"/>
  <c r="R181" i="16" s="1"/>
  <c r="R182" i="16" s="1"/>
  <c r="R183" i="16" s="1"/>
  <c r="R184" i="16" s="1"/>
  <c r="R185" i="16" s="1"/>
  <c r="R186" i="16" s="1"/>
  <c r="R187" i="16" s="1"/>
  <c r="R188" i="16" s="1"/>
  <c r="R189" i="16" s="1"/>
  <c r="R190" i="16" s="1"/>
  <c r="R191" i="16" s="1"/>
  <c r="R192" i="16" s="1"/>
  <c r="R193" i="16" s="1"/>
  <c r="R194" i="16" s="1"/>
  <c r="R195" i="16" s="1"/>
  <c r="R196" i="16" s="1"/>
  <c r="R197" i="16" s="1"/>
  <c r="R198" i="16" s="1"/>
  <c r="R199" i="16" s="1"/>
  <c r="P170" i="16"/>
  <c r="P171" i="16" s="1"/>
  <c r="P172" i="16" s="1"/>
  <c r="P173" i="16" s="1"/>
  <c r="P174" i="16" s="1"/>
  <c r="P175" i="16" s="1"/>
  <c r="P176" i="16" s="1"/>
  <c r="P177" i="16" s="1"/>
  <c r="P178" i="16" s="1"/>
  <c r="P179" i="16" s="1"/>
  <c r="P180" i="16" s="1"/>
  <c r="P181" i="16" s="1"/>
  <c r="P182" i="16" s="1"/>
  <c r="P183" i="16" s="1"/>
  <c r="P184" i="16" s="1"/>
  <c r="P185" i="16" s="1"/>
  <c r="P186" i="16" s="1"/>
  <c r="P187" i="16" s="1"/>
  <c r="P188" i="16" s="1"/>
  <c r="P189" i="16" s="1"/>
  <c r="P190" i="16" s="1"/>
  <c r="P191" i="16" s="1"/>
  <c r="P192" i="16" s="1"/>
  <c r="P193" i="16" s="1"/>
  <c r="P194" i="16" s="1"/>
  <c r="P195" i="16" s="1"/>
  <c r="P196" i="16" s="1"/>
  <c r="P197" i="16" s="1"/>
  <c r="P198" i="16" s="1"/>
  <c r="P199" i="16" s="1"/>
  <c r="N170" i="16"/>
  <c r="N171" i="16" s="1"/>
  <c r="N172" i="16" s="1"/>
  <c r="N173" i="16" s="1"/>
  <c r="N174" i="16" s="1"/>
  <c r="N175" i="16" s="1"/>
  <c r="N176" i="16" s="1"/>
  <c r="N177" i="16" s="1"/>
  <c r="N178" i="16" s="1"/>
  <c r="N179" i="16" s="1"/>
  <c r="N180" i="16" s="1"/>
  <c r="N181" i="16" s="1"/>
  <c r="N182" i="16" s="1"/>
  <c r="N183" i="16" s="1"/>
  <c r="N184" i="16" s="1"/>
  <c r="N185" i="16" s="1"/>
  <c r="N186" i="16" s="1"/>
  <c r="N187" i="16" s="1"/>
  <c r="N188" i="16" s="1"/>
  <c r="N189" i="16" s="1"/>
  <c r="N190" i="16" s="1"/>
  <c r="N191" i="16" s="1"/>
  <c r="N192" i="16" s="1"/>
  <c r="N193" i="16" s="1"/>
  <c r="N194" i="16" s="1"/>
  <c r="N195" i="16" s="1"/>
  <c r="N196" i="16" s="1"/>
  <c r="N197" i="16" s="1"/>
  <c r="N198" i="16" s="1"/>
  <c r="N199" i="16" s="1"/>
  <c r="I170" i="16"/>
  <c r="I171" i="16" s="1"/>
  <c r="I172" i="16" s="1"/>
  <c r="C170" i="16"/>
  <c r="C171" i="16" s="1"/>
  <c r="C172" i="16" s="1"/>
  <c r="C173" i="16" s="1"/>
  <c r="C174" i="16" s="1"/>
  <c r="C175" i="16" s="1"/>
  <c r="C176" i="16" s="1"/>
  <c r="C177" i="16" s="1"/>
  <c r="C178" i="16" s="1"/>
  <c r="C179" i="16" s="1"/>
  <c r="C180" i="16" s="1"/>
  <c r="C181" i="16" s="1"/>
  <c r="C182" i="16" s="1"/>
  <c r="C183" i="16" s="1"/>
  <c r="C184" i="16" s="1"/>
  <c r="C185" i="16" s="1"/>
  <c r="C186" i="16" s="1"/>
  <c r="C187" i="16" s="1"/>
  <c r="C188" i="16" s="1"/>
  <c r="C189" i="16" s="1"/>
  <c r="C190" i="16" s="1"/>
  <c r="C191" i="16" s="1"/>
  <c r="C192" i="16" s="1"/>
  <c r="C193" i="16" s="1"/>
  <c r="C194" i="16" s="1"/>
  <c r="C195" i="16" s="1"/>
  <c r="C196" i="16" s="1"/>
  <c r="C197" i="16" s="1"/>
  <c r="C198" i="16" s="1"/>
  <c r="C199" i="16" s="1"/>
  <c r="R130" i="16"/>
  <c r="R131" i="16" s="1"/>
  <c r="R132" i="16" s="1"/>
  <c r="R133" i="16" s="1"/>
  <c r="R134" i="16" s="1"/>
  <c r="R135" i="16" s="1"/>
  <c r="R136" i="16" s="1"/>
  <c r="R137" i="16" s="1"/>
  <c r="R138" i="16" s="1"/>
  <c r="R139" i="16" s="1"/>
  <c r="R140" i="16" s="1"/>
  <c r="R141" i="16" s="1"/>
  <c r="R142" i="16" s="1"/>
  <c r="R143" i="16" s="1"/>
  <c r="R144" i="16" s="1"/>
  <c r="R145" i="16" s="1"/>
  <c r="R146" i="16" s="1"/>
  <c r="R147" i="16" s="1"/>
  <c r="R148" i="16" s="1"/>
  <c r="R149" i="16" s="1"/>
  <c r="R150" i="16" s="1"/>
  <c r="R151" i="16" s="1"/>
  <c r="R152" i="16" s="1"/>
  <c r="R153" i="16" s="1"/>
  <c r="R154" i="16" s="1"/>
  <c r="R155" i="16" s="1"/>
  <c r="R156" i="16" s="1"/>
  <c r="R157" i="16" s="1"/>
  <c r="R158" i="16" s="1"/>
  <c r="R159" i="16" s="1"/>
  <c r="P130" i="16"/>
  <c r="P131" i="16" s="1"/>
  <c r="P132" i="16" s="1"/>
  <c r="P133" i="16" s="1"/>
  <c r="P134" i="16" s="1"/>
  <c r="P135" i="16" s="1"/>
  <c r="P136" i="16" s="1"/>
  <c r="P137" i="16" s="1"/>
  <c r="P138" i="16" s="1"/>
  <c r="P139" i="16" s="1"/>
  <c r="P140" i="16" s="1"/>
  <c r="P141" i="16" s="1"/>
  <c r="P142" i="16" s="1"/>
  <c r="P143" i="16" s="1"/>
  <c r="P144" i="16" s="1"/>
  <c r="P145" i="16" s="1"/>
  <c r="P146" i="16" s="1"/>
  <c r="P147" i="16" s="1"/>
  <c r="P148" i="16" s="1"/>
  <c r="P149" i="16" s="1"/>
  <c r="P150" i="16" s="1"/>
  <c r="P151" i="16" s="1"/>
  <c r="P152" i="16" s="1"/>
  <c r="P153" i="16" s="1"/>
  <c r="P154" i="16" s="1"/>
  <c r="P155" i="16" s="1"/>
  <c r="P156" i="16" s="1"/>
  <c r="P157" i="16" s="1"/>
  <c r="P158" i="16" s="1"/>
  <c r="P159" i="16" s="1"/>
  <c r="N130" i="16"/>
  <c r="N131" i="16" s="1"/>
  <c r="N132" i="16" s="1"/>
  <c r="N133" i="16" s="1"/>
  <c r="N134" i="16" s="1"/>
  <c r="N135" i="16" s="1"/>
  <c r="N136" i="16" s="1"/>
  <c r="N137" i="16" s="1"/>
  <c r="N138" i="16" s="1"/>
  <c r="N139" i="16" s="1"/>
  <c r="N140" i="16" s="1"/>
  <c r="N141" i="16" s="1"/>
  <c r="N142" i="16" s="1"/>
  <c r="N143" i="16" s="1"/>
  <c r="N144" i="16" s="1"/>
  <c r="N145" i="16" s="1"/>
  <c r="N146" i="16" s="1"/>
  <c r="N147" i="16" s="1"/>
  <c r="N148" i="16" s="1"/>
  <c r="N149" i="16" s="1"/>
  <c r="N150" i="16" s="1"/>
  <c r="N151" i="16" s="1"/>
  <c r="N152" i="16" s="1"/>
  <c r="N153" i="16" s="1"/>
  <c r="N154" i="16" s="1"/>
  <c r="N155" i="16" s="1"/>
  <c r="N156" i="16" s="1"/>
  <c r="N157" i="16" s="1"/>
  <c r="N158" i="16" s="1"/>
  <c r="N159" i="16" s="1"/>
  <c r="I130" i="16"/>
  <c r="I131" i="16" s="1"/>
  <c r="I132" i="16" s="1"/>
  <c r="I133" i="16" s="1"/>
  <c r="I134" i="16" s="1"/>
  <c r="I135" i="16" s="1"/>
  <c r="I136" i="16" s="1"/>
  <c r="I137" i="16" s="1"/>
  <c r="I138" i="16" s="1"/>
  <c r="I139" i="16" s="1"/>
  <c r="I140" i="16" s="1"/>
  <c r="I141" i="16" s="1"/>
  <c r="I142" i="16" s="1"/>
  <c r="I143" i="16" s="1"/>
  <c r="I144" i="16" s="1"/>
  <c r="I145" i="16" s="1"/>
  <c r="I146" i="16" s="1"/>
  <c r="I147" i="16" s="1"/>
  <c r="I148" i="16" s="1"/>
  <c r="I149" i="16" s="1"/>
  <c r="I150" i="16" s="1"/>
  <c r="I151" i="16" s="1"/>
  <c r="I152" i="16" s="1"/>
  <c r="I153" i="16" s="1"/>
  <c r="I154" i="16" s="1"/>
  <c r="I155" i="16" s="1"/>
  <c r="I156" i="16" s="1"/>
  <c r="I157" i="16" s="1"/>
  <c r="I158" i="16" s="1"/>
  <c r="I159" i="16" s="1"/>
  <c r="E130" i="16"/>
  <c r="E131" i="16" s="1"/>
  <c r="E132" i="16" s="1"/>
  <c r="E133" i="16" s="1"/>
  <c r="E134" i="16" s="1"/>
  <c r="E135" i="16" s="1"/>
  <c r="E136" i="16" s="1"/>
  <c r="E137" i="16" s="1"/>
  <c r="E138" i="16" s="1"/>
  <c r="E139" i="16" s="1"/>
  <c r="E140" i="16" s="1"/>
  <c r="E141" i="16" s="1"/>
  <c r="E142" i="16" s="1"/>
  <c r="E143" i="16" s="1"/>
  <c r="E144" i="16" s="1"/>
  <c r="E145" i="16" s="1"/>
  <c r="E146" i="16" s="1"/>
  <c r="E147" i="16" s="1"/>
  <c r="E148" i="16" s="1"/>
  <c r="E149" i="16" s="1"/>
  <c r="E150" i="16" s="1"/>
  <c r="E151" i="16" s="1"/>
  <c r="E152" i="16" s="1"/>
  <c r="E153" i="16" s="1"/>
  <c r="E154" i="16" s="1"/>
  <c r="E155" i="16" s="1"/>
  <c r="E156" i="16" s="1"/>
  <c r="E157" i="16" s="1"/>
  <c r="E158" i="16" s="1"/>
  <c r="E159" i="16" s="1"/>
  <c r="F130" i="16"/>
  <c r="F131" i="16" s="1"/>
  <c r="F132" i="16"/>
  <c r="F133" i="16" s="1"/>
  <c r="F134" i="16" s="1"/>
  <c r="F135" i="16" s="1"/>
  <c r="F136" i="16" s="1"/>
  <c r="F137" i="16" s="1"/>
  <c r="F138" i="16" s="1"/>
  <c r="F139" i="16" s="1"/>
  <c r="F140" i="16" s="1"/>
  <c r="F141" i="16" s="1"/>
  <c r="F142" i="16" s="1"/>
  <c r="F143" i="16" s="1"/>
  <c r="F144" i="16" s="1"/>
  <c r="F145" i="16" s="1"/>
  <c r="F146" i="16" s="1"/>
  <c r="F147" i="16" s="1"/>
  <c r="F148" i="16" s="1"/>
  <c r="F149" i="16" s="1"/>
  <c r="F150" i="16" s="1"/>
  <c r="F151" i="16" s="1"/>
  <c r="F152" i="16" s="1"/>
  <c r="F153" i="16" s="1"/>
  <c r="F154" i="16" s="1"/>
  <c r="F155" i="16" s="1"/>
  <c r="F156" i="16" s="1"/>
  <c r="F157" i="16" s="1"/>
  <c r="F158" i="16" s="1"/>
  <c r="F159" i="16" s="1"/>
  <c r="R129" i="16"/>
  <c r="Q129" i="16"/>
  <c r="P129" i="16"/>
  <c r="O129" i="16"/>
  <c r="N129" i="16"/>
  <c r="L129" i="16"/>
  <c r="K129" i="16"/>
  <c r="J129" i="16"/>
  <c r="I129" i="16"/>
  <c r="H129" i="16"/>
  <c r="D129" i="16"/>
  <c r="E129" i="16"/>
  <c r="F129" i="16"/>
  <c r="C129" i="16"/>
  <c r="N163" i="16"/>
  <c r="N83" i="16"/>
  <c r="N43" i="16"/>
  <c r="N3" i="16"/>
  <c r="G31" i="1"/>
  <c r="H32" i="1"/>
  <c r="H29" i="1"/>
  <c r="K8" i="1"/>
  <c r="H4" i="18"/>
  <c r="I4" i="18"/>
  <c r="I28" i="18" s="1"/>
  <c r="L36" i="18"/>
  <c r="G36" i="18"/>
  <c r="J35" i="18"/>
  <c r="I31" i="18"/>
  <c r="C30" i="18"/>
  <c r="G29" i="18"/>
  <c r="L24" i="18"/>
  <c r="G24" i="18"/>
  <c r="I23" i="18"/>
  <c r="C23" i="18"/>
  <c r="F19" i="18"/>
  <c r="H18" i="18"/>
  <c r="C18" i="18"/>
  <c r="F13" i="18"/>
  <c r="L12" i="18"/>
  <c r="D12" i="18"/>
  <c r="I11" i="18"/>
  <c r="B11" i="18"/>
  <c r="B19" i="18"/>
  <c r="B23" i="18"/>
  <c r="AH23" i="12"/>
  <c r="AV23" i="12"/>
  <c r="AH22" i="12"/>
  <c r="AV22" i="12"/>
  <c r="M28" i="12"/>
  <c r="M29" i="12"/>
  <c r="J12" i="12"/>
  <c r="J16" i="12"/>
  <c r="AN23" i="12"/>
  <c r="BB23" i="12"/>
  <c r="AN22" i="12"/>
  <c r="BB22" i="12"/>
  <c r="AN21" i="12"/>
  <c r="BB21" i="12"/>
  <c r="AM23" i="12"/>
  <c r="BA23" i="12"/>
  <c r="AL23" i="12"/>
  <c r="AZ23" i="12"/>
  <c r="AK23" i="12"/>
  <c r="AY23" i="12"/>
  <c r="AJ23" i="12"/>
  <c r="AX23" i="12"/>
  <c r="AI23" i="12"/>
  <c r="AW23" i="12"/>
  <c r="AG23" i="12"/>
  <c r="AU23" i="12"/>
  <c r="AF23" i="12"/>
  <c r="AT23" i="12"/>
  <c r="AE23" i="12"/>
  <c r="AS23" i="12"/>
  <c r="AD23" i="12"/>
  <c r="AR23" i="12"/>
  <c r="AC23" i="12"/>
  <c r="AQ23" i="12"/>
  <c r="AB23" i="12"/>
  <c r="AP23" i="12"/>
  <c r="AM22" i="12"/>
  <c r="BA22" i="12"/>
  <c r="AL22" i="12"/>
  <c r="AZ22" i="12"/>
  <c r="AK22" i="12"/>
  <c r="AY22" i="12"/>
  <c r="AJ22" i="12"/>
  <c r="AX22" i="12"/>
  <c r="AI22" i="12"/>
  <c r="AW22" i="12"/>
  <c r="AG22" i="12"/>
  <c r="AU22" i="12"/>
  <c r="AF22" i="12"/>
  <c r="AT22" i="12"/>
  <c r="AE22" i="12"/>
  <c r="AS22" i="12"/>
  <c r="AD22" i="12"/>
  <c r="AR22" i="12"/>
  <c r="AC22" i="12"/>
  <c r="AQ22" i="12"/>
  <c r="AB22" i="12"/>
  <c r="AP22" i="12"/>
  <c r="AM21" i="12"/>
  <c r="BA21" i="12"/>
  <c r="AL21" i="12"/>
  <c r="AZ21" i="12"/>
  <c r="AJ21" i="12"/>
  <c r="AX21" i="12"/>
  <c r="AG21" i="12"/>
  <c r="AU21" i="12"/>
  <c r="H6" i="12"/>
  <c r="AE21" i="12"/>
  <c r="AS21" i="12" s="1"/>
  <c r="AC21" i="12"/>
  <c r="AQ21" i="12"/>
  <c r="AA22" i="12"/>
  <c r="AO22" i="12"/>
  <c r="AA23" i="12"/>
  <c r="AO23" i="12"/>
  <c r="AA21" i="12"/>
  <c r="AO21" i="12"/>
  <c r="B28" i="12"/>
  <c r="B27" i="12"/>
  <c r="B26" i="12"/>
  <c r="V5" i="12"/>
  <c r="M43" i="12"/>
  <c r="N43" i="12"/>
  <c r="M38" i="12"/>
  <c r="M39" i="12"/>
  <c r="M41" i="12"/>
  <c r="M44" i="12"/>
  <c r="L44" i="12"/>
  <c r="L43" i="12"/>
  <c r="L41" i="12"/>
  <c r="L39" i="12"/>
  <c r="L38" i="12"/>
  <c r="B4" i="14"/>
  <c r="D6" i="14"/>
  <c r="D19" i="14" s="1"/>
  <c r="C6" i="14"/>
  <c r="B6" i="14"/>
  <c r="B36" i="14" s="1"/>
  <c r="B21" i="14"/>
  <c r="B18" i="14"/>
  <c r="D18" i="14"/>
  <c r="B20" i="14"/>
  <c r="D20" i="14"/>
  <c r="B22" i="14"/>
  <c r="D23" i="14"/>
  <c r="B24" i="14"/>
  <c r="B25" i="14"/>
  <c r="D25" i="14"/>
  <c r="B28" i="14"/>
  <c r="D28" i="14"/>
  <c r="B29" i="14"/>
  <c r="B30" i="14"/>
  <c r="D30" i="14"/>
  <c r="B32" i="14"/>
  <c r="B33" i="14"/>
  <c r="D33" i="14"/>
  <c r="B34" i="14"/>
  <c r="D35" i="14"/>
  <c r="B17" i="14"/>
  <c r="B8" i="14"/>
  <c r="C9" i="14"/>
  <c r="D9" i="14"/>
  <c r="B11" i="14"/>
  <c r="D11" i="14"/>
  <c r="D12" i="14"/>
  <c r="B13" i="14"/>
  <c r="C13" i="14"/>
  <c r="D13" i="14"/>
  <c r="C15" i="14"/>
  <c r="B16" i="14"/>
  <c r="C16" i="14"/>
  <c r="B5" i="15"/>
  <c r="D7" i="15"/>
  <c r="C7" i="15"/>
  <c r="C17" i="15" s="1"/>
  <c r="B7" i="15"/>
  <c r="B14" i="15" s="1"/>
  <c r="B10" i="15"/>
  <c r="B9" i="15"/>
  <c r="B20" i="15"/>
  <c r="B33" i="15"/>
  <c r="B34" i="15"/>
  <c r="D28" i="15"/>
  <c r="C11" i="15"/>
  <c r="C13" i="15"/>
  <c r="C14" i="15"/>
  <c r="Q35" i="17"/>
  <c r="I10" i="19"/>
  <c r="J10" i="19" s="1"/>
  <c r="I10" i="23"/>
  <c r="J10" i="23" s="1"/>
  <c r="I10" i="22"/>
  <c r="J10" i="22" s="1"/>
  <c r="E23" i="17"/>
  <c r="I10" i="26"/>
  <c r="J10" i="26" s="1"/>
  <c r="Q18" i="17"/>
  <c r="I10" i="25"/>
  <c r="J10" i="25" s="1"/>
  <c r="I10" i="21"/>
  <c r="J10" i="21" s="1"/>
  <c r="M17" i="12"/>
  <c r="M30" i="12"/>
  <c r="D18" i="15"/>
  <c r="D27" i="15"/>
  <c r="B35" i="18"/>
  <c r="B22" i="18"/>
  <c r="E9" i="18"/>
  <c r="H10" i="18"/>
  <c r="J11" i="18"/>
  <c r="E14" i="18"/>
  <c r="I15" i="18"/>
  <c r="L16" i="18"/>
  <c r="G19" i="18"/>
  <c r="I20" i="18"/>
  <c r="C22" i="18"/>
  <c r="F23" i="18"/>
  <c r="K25" i="18"/>
  <c r="C27" i="18"/>
  <c r="J29" i="18"/>
  <c r="F31" i="18"/>
  <c r="L32" i="18"/>
  <c r="H34" i="18"/>
  <c r="D36" i="18"/>
  <c r="D36" i="15"/>
  <c r="B34" i="18"/>
  <c r="B20" i="18"/>
  <c r="D8" i="18"/>
  <c r="F9" i="18"/>
  <c r="K11" i="18"/>
  <c r="E13" i="18"/>
  <c r="J15" i="18"/>
  <c r="C17" i="18"/>
  <c r="E18" i="18"/>
  <c r="I19" i="18"/>
  <c r="D22" i="18"/>
  <c r="G23" i="18"/>
  <c r="I24" i="18"/>
  <c r="F27" i="18"/>
  <c r="H28" i="18"/>
  <c r="K29" i="18"/>
  <c r="C33" i="18"/>
  <c r="I34" i="18"/>
  <c r="E36" i="18"/>
  <c r="K37" i="18"/>
  <c r="Q26" i="17"/>
  <c r="D24" i="15"/>
  <c r="D32" i="15"/>
  <c r="D9" i="15"/>
  <c r="D13" i="15"/>
  <c r="D17" i="15"/>
  <c r="D21" i="15"/>
  <c r="D29" i="15"/>
  <c r="D11" i="15"/>
  <c r="G8" i="18"/>
  <c r="E12" i="18"/>
  <c r="K14" i="18"/>
  <c r="F17" i="18"/>
  <c r="H22" i="18"/>
  <c r="C25" i="18"/>
  <c r="D30" i="18"/>
  <c r="F33" i="18"/>
  <c r="H36" i="18"/>
  <c r="T24" i="17"/>
  <c r="T25" i="17"/>
  <c r="T26" i="17"/>
  <c r="T27" i="17"/>
  <c r="T28" i="17"/>
  <c r="T29" i="17"/>
  <c r="T30" i="17"/>
  <c r="T31" i="17"/>
  <c r="T32" i="17"/>
  <c r="T33" i="17"/>
  <c r="T34" i="17"/>
  <c r="T35" i="17"/>
  <c r="T36" i="17"/>
  <c r="T37" i="17"/>
  <c r="T38" i="17"/>
  <c r="B28" i="18"/>
  <c r="B15" i="18"/>
  <c r="H8" i="18"/>
  <c r="K9" i="18"/>
  <c r="C11" i="18"/>
  <c r="J13" i="18"/>
  <c r="L14" i="18"/>
  <c r="E16" i="18"/>
  <c r="G17" i="18"/>
  <c r="K18" i="18"/>
  <c r="D20" i="18"/>
  <c r="F21" i="18"/>
  <c r="K23" i="18"/>
  <c r="E25" i="18"/>
  <c r="H26" i="18"/>
  <c r="J27" i="18"/>
  <c r="C29" i="18"/>
  <c r="H30" i="18"/>
  <c r="D32" i="18"/>
  <c r="F35" i="18"/>
  <c r="H30" i="12"/>
  <c r="H27" i="12"/>
  <c r="D8" i="15"/>
  <c r="D25" i="15"/>
  <c r="I37" i="18"/>
  <c r="K36" i="18"/>
  <c r="C36" i="18"/>
  <c r="E35" i="18"/>
  <c r="G34" i="18"/>
  <c r="I33" i="18"/>
  <c r="C32" i="18"/>
  <c r="E31" i="18"/>
  <c r="G30" i="18"/>
  <c r="I29" i="18"/>
  <c r="K28" i="18"/>
  <c r="C28" i="18"/>
  <c r="E27" i="18"/>
  <c r="I25" i="18"/>
  <c r="K24" i="18"/>
  <c r="C24" i="18"/>
  <c r="E23" i="18"/>
  <c r="G22" i="18"/>
  <c r="I21" i="18"/>
  <c r="K20" i="18"/>
  <c r="E19" i="18"/>
  <c r="G18" i="18"/>
  <c r="I17" i="18"/>
  <c r="K16" i="18"/>
  <c r="C16" i="18"/>
  <c r="E15" i="18"/>
  <c r="G14" i="18"/>
  <c r="K12" i="18"/>
  <c r="C12" i="18"/>
  <c r="E11" i="18"/>
  <c r="G10" i="18"/>
  <c r="I9" i="18"/>
  <c r="K8" i="18"/>
  <c r="C8" i="18"/>
  <c r="B24" i="18"/>
  <c r="B32" i="18"/>
  <c r="H37" i="18"/>
  <c r="J36" i="18"/>
  <c r="L35" i="18"/>
  <c r="D35" i="18"/>
  <c r="F34" i="18"/>
  <c r="J32" i="18"/>
  <c r="L31" i="18"/>
  <c r="D31" i="18"/>
  <c r="F30" i="18"/>
  <c r="H29" i="18"/>
  <c r="J28" i="18"/>
  <c r="L27" i="18"/>
  <c r="F26" i="18"/>
  <c r="H25" i="18"/>
  <c r="J24" i="18"/>
  <c r="L23" i="18"/>
  <c r="D23" i="18"/>
  <c r="F22" i="18"/>
  <c r="H21" i="18"/>
  <c r="L19" i="18"/>
  <c r="D19" i="18"/>
  <c r="F18" i="18"/>
  <c r="H17" i="18"/>
  <c r="J16" i="18"/>
  <c r="L15" i="18"/>
  <c r="D15" i="18"/>
  <c r="H13" i="18"/>
  <c r="J12" i="18"/>
  <c r="L11" i="18"/>
  <c r="D11" i="18"/>
  <c r="F10" i="18"/>
  <c r="H9" i="18"/>
  <c r="J8" i="18"/>
  <c r="B17" i="18"/>
  <c r="B25" i="18"/>
  <c r="B33" i="18"/>
  <c r="G37" i="18"/>
  <c r="I36" i="18"/>
  <c r="K35" i="18"/>
  <c r="C35" i="18"/>
  <c r="G33" i="18"/>
  <c r="I32" i="18"/>
  <c r="K31" i="18"/>
  <c r="C31" i="18"/>
  <c r="E30" i="18"/>
  <c r="L37" i="18"/>
  <c r="D37" i="18"/>
  <c r="H35" i="18"/>
  <c r="J34" i="18"/>
  <c r="L33" i="18"/>
  <c r="D33" i="18"/>
  <c r="F32" i="18"/>
  <c r="H31" i="18"/>
  <c r="J30" i="18"/>
  <c r="D29" i="18"/>
  <c r="F28" i="18"/>
  <c r="H27" i="18"/>
  <c r="J26" i="18"/>
  <c r="L25" i="18"/>
  <c r="D25" i="18"/>
  <c r="F24" i="18"/>
  <c r="J22" i="18"/>
  <c r="L21" i="18"/>
  <c r="D21" i="18"/>
  <c r="F20" i="18"/>
  <c r="H19" i="18"/>
  <c r="J18" i="18"/>
  <c r="L17" i="18"/>
  <c r="F16" i="18"/>
  <c r="H15" i="18"/>
  <c r="J14" i="18"/>
  <c r="L13" i="18"/>
  <c r="D13" i="18"/>
  <c r="F12" i="18"/>
  <c r="H11" i="18"/>
  <c r="L9" i="18"/>
  <c r="D9" i="18"/>
  <c r="F8" i="18"/>
  <c r="B13" i="18"/>
  <c r="B21" i="18"/>
  <c r="B29" i="18"/>
  <c r="B37" i="18"/>
  <c r="D34" i="15"/>
  <c r="D23" i="15"/>
  <c r="B18" i="18"/>
  <c r="L10" i="18"/>
  <c r="G13" i="18"/>
  <c r="I18" i="18"/>
  <c r="E21" i="18"/>
  <c r="L28" i="18"/>
  <c r="J31" i="18"/>
  <c r="L34" i="18"/>
  <c r="D33" i="15"/>
  <c r="D22" i="15"/>
  <c r="B27" i="18"/>
  <c r="B14" i="18"/>
  <c r="I8" i="18"/>
  <c r="C10" i="18"/>
  <c r="H12" i="18"/>
  <c r="K13" i="18"/>
  <c r="C15" i="18"/>
  <c r="G16" i="18"/>
  <c r="J17" i="18"/>
  <c r="L18" i="18"/>
  <c r="E20" i="18"/>
  <c r="K22" i="18"/>
  <c r="D24" i="18"/>
  <c r="F25" i="18"/>
  <c r="I26" i="18"/>
  <c r="K27" i="18"/>
  <c r="E29" i="18"/>
  <c r="I30" i="18"/>
  <c r="K33" i="18"/>
  <c r="G35" i="18"/>
  <c r="C37" i="18"/>
  <c r="D12" i="15"/>
  <c r="I10" i="17"/>
  <c r="B30" i="18"/>
  <c r="J9" i="18"/>
  <c r="D16" i="18"/>
  <c r="E26" i="18"/>
  <c r="D15" i="15"/>
  <c r="D10" i="15"/>
  <c r="D31" i="15"/>
  <c r="D20" i="15"/>
  <c r="B11" i="15"/>
  <c r="B19" i="15"/>
  <c r="B16" i="15"/>
  <c r="B15" i="14"/>
  <c r="B7" i="14"/>
  <c r="B19" i="14"/>
  <c r="B23" i="14"/>
  <c r="B27" i="14"/>
  <c r="B31" i="14"/>
  <c r="B35" i="14"/>
  <c r="B14" i="14"/>
  <c r="D30" i="15"/>
  <c r="D19" i="15"/>
  <c r="B28" i="15"/>
  <c r="C12" i="15"/>
  <c r="C16" i="15"/>
  <c r="B12" i="14"/>
  <c r="B9" i="14"/>
  <c r="B26" i="14"/>
  <c r="C12" i="14"/>
  <c r="C11" i="14"/>
  <c r="B26" i="18"/>
  <c r="B12" i="18"/>
  <c r="L8" i="18"/>
  <c r="D10" i="18"/>
  <c r="G11" i="18"/>
  <c r="I12" i="18"/>
  <c r="C14" i="18"/>
  <c r="H16" i="18"/>
  <c r="K17" i="18"/>
  <c r="C19" i="18"/>
  <c r="G20" i="18"/>
  <c r="J21" i="18"/>
  <c r="L22" i="18"/>
  <c r="E24" i="18"/>
  <c r="K26" i="18"/>
  <c r="D28" i="18"/>
  <c r="F29" i="18"/>
  <c r="K30" i="18"/>
  <c r="G32" i="18"/>
  <c r="C34" i="18"/>
  <c r="I35" i="18"/>
  <c r="H130" i="16"/>
  <c r="H131" i="16" s="1"/>
  <c r="H132" i="16" s="1"/>
  <c r="H133" i="16" s="1"/>
  <c r="H134" i="16" s="1"/>
  <c r="H135" i="16" s="1"/>
  <c r="H136" i="16" s="1"/>
  <c r="H137" i="16" s="1"/>
  <c r="H138" i="16" s="1"/>
  <c r="H139" i="16" s="1"/>
  <c r="H140" i="16" s="1"/>
  <c r="H141" i="16" s="1"/>
  <c r="H142" i="16" s="1"/>
  <c r="H143" i="16" s="1"/>
  <c r="H144" i="16" s="1"/>
  <c r="H145" i="16" s="1"/>
  <c r="H146" i="16" s="1"/>
  <c r="H147" i="16" s="1"/>
  <c r="H148" i="16" s="1"/>
  <c r="H149" i="16" s="1"/>
  <c r="H150" i="16" s="1"/>
  <c r="H151" i="16" s="1"/>
  <c r="H152" i="16" s="1"/>
  <c r="H153" i="16" s="1"/>
  <c r="H154" i="16" s="1"/>
  <c r="H155" i="16" s="1"/>
  <c r="H156" i="16" s="1"/>
  <c r="H157" i="16" s="1"/>
  <c r="H158" i="16" s="1"/>
  <c r="H159" i="16" s="1"/>
  <c r="J11" i="16"/>
  <c r="J12" i="16" s="1"/>
  <c r="J13" i="16"/>
  <c r="J14" i="16" s="1"/>
  <c r="J15" i="16" s="1"/>
  <c r="J16" i="16" s="1"/>
  <c r="J17" i="16" s="1"/>
  <c r="J18" i="16" s="1"/>
  <c r="J19" i="16" s="1"/>
  <c r="J20" i="16" s="1"/>
  <c r="J21" i="16" s="1"/>
  <c r="J22" i="16" s="1"/>
  <c r="J23" i="16" s="1"/>
  <c r="J24" i="16" s="1"/>
  <c r="J25" i="16" s="1"/>
  <c r="J26" i="16" s="1"/>
  <c r="J27" i="16" s="1"/>
  <c r="J28" i="16" s="1"/>
  <c r="J29" i="16" s="1"/>
  <c r="J30" i="16" s="1"/>
  <c r="J31" i="16" s="1"/>
  <c r="J32" i="16" s="1"/>
  <c r="J33" i="16" s="1"/>
  <c r="J34" i="16" s="1"/>
  <c r="J35" i="16" s="1"/>
  <c r="J36" i="16" s="1"/>
  <c r="J37" i="16" s="1"/>
  <c r="J38" i="16" s="1"/>
  <c r="J39" i="16" s="1"/>
  <c r="K51" i="16"/>
  <c r="K52" i="16" s="1"/>
  <c r="K53" i="16" s="1"/>
  <c r="K54" i="16" s="1"/>
  <c r="K55" i="16" s="1"/>
  <c r="K56" i="16" s="1"/>
  <c r="K57" i="16" s="1"/>
  <c r="K58" i="16" s="1"/>
  <c r="K59" i="16" s="1"/>
  <c r="K60" i="16" s="1"/>
  <c r="K61" i="16" s="1"/>
  <c r="K62" i="16" s="1"/>
  <c r="K63" i="16" s="1"/>
  <c r="K64" i="16" s="1"/>
  <c r="K65" i="16" s="1"/>
  <c r="K66" i="16" s="1"/>
  <c r="K67" i="16" s="1"/>
  <c r="K68" i="16" s="1"/>
  <c r="K69" i="16" s="1"/>
  <c r="K70" i="16" s="1"/>
  <c r="K71" i="16" s="1"/>
  <c r="K72" i="16" s="1"/>
  <c r="K73" i="16" s="1"/>
  <c r="K74" i="16" s="1"/>
  <c r="K75" i="16" s="1"/>
  <c r="K76" i="16" s="1"/>
  <c r="K77" i="16" s="1"/>
  <c r="K78" i="16" s="1"/>
  <c r="K79" i="16" s="1"/>
  <c r="F50" i="16"/>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 r="F75" i="16" s="1"/>
  <c r="F76" i="16" s="1"/>
  <c r="F77" i="16" s="1"/>
  <c r="F78" i="16" s="1"/>
  <c r="F79" i="16" s="1"/>
  <c r="F170" i="16"/>
  <c r="F171" i="16" s="1"/>
  <c r="F172" i="16" s="1"/>
  <c r="F173" i="16" s="1"/>
  <c r="F174" i="16" s="1"/>
  <c r="F175" i="16" s="1"/>
  <c r="F176" i="16" s="1"/>
  <c r="F177" i="16" s="1"/>
  <c r="F178" i="16" s="1"/>
  <c r="F179" i="16" s="1"/>
  <c r="F180" i="16" s="1"/>
  <c r="F181" i="16" s="1"/>
  <c r="F182" i="16" s="1"/>
  <c r="F183" i="16" s="1"/>
  <c r="F184" i="16" s="1"/>
  <c r="F185" i="16" s="1"/>
  <c r="F186" i="16" s="1"/>
  <c r="F187" i="16" s="1"/>
  <c r="F188" i="16" s="1"/>
  <c r="F189" i="16" s="1"/>
  <c r="F190" i="16" s="1"/>
  <c r="F191" i="16" s="1"/>
  <c r="F192" i="16" s="1"/>
  <c r="F193" i="16" s="1"/>
  <c r="F194" i="16" s="1"/>
  <c r="F195" i="16" s="1"/>
  <c r="F196" i="16" s="1"/>
  <c r="F197" i="16" s="1"/>
  <c r="F198" i="16" s="1"/>
  <c r="F199" i="16" s="1"/>
  <c r="D130" i="16"/>
  <c r="D131" i="16" s="1"/>
  <c r="D132" i="16" s="1"/>
  <c r="D133" i="16" s="1"/>
  <c r="D134" i="16" s="1"/>
  <c r="D135" i="16" s="1"/>
  <c r="D136" i="16" s="1"/>
  <c r="D137" i="16" s="1"/>
  <c r="D138" i="16" s="1"/>
  <c r="D139" i="16" s="1"/>
  <c r="D140" i="16" s="1"/>
  <c r="D141" i="16" s="1"/>
  <c r="D142" i="16" s="1"/>
  <c r="D143" i="16" s="1"/>
  <c r="D144" i="16" s="1"/>
  <c r="D145" i="16" s="1"/>
  <c r="D146" i="16" s="1"/>
  <c r="D147" i="16" s="1"/>
  <c r="D148" i="16" s="1"/>
  <c r="D149" i="16" s="1"/>
  <c r="D150" i="16" s="1"/>
  <c r="D151" i="16" s="1"/>
  <c r="D152" i="16" s="1"/>
  <c r="D153" i="16" s="1"/>
  <c r="D154" i="16" s="1"/>
  <c r="D155" i="16" s="1"/>
  <c r="D156" i="16" s="1"/>
  <c r="D157" i="16" s="1"/>
  <c r="D158" i="16" s="1"/>
  <c r="D159" i="16" s="1"/>
  <c r="P10" i="16"/>
  <c r="P11" i="16" s="1"/>
  <c r="P12" i="16" s="1"/>
  <c r="P13" i="16" s="1"/>
  <c r="P14" i="16" s="1"/>
  <c r="P15" i="16" s="1"/>
  <c r="P16" i="16" s="1"/>
  <c r="P17" i="16" s="1"/>
  <c r="P18" i="16" s="1"/>
  <c r="P19" i="16" s="1"/>
  <c r="P20" i="16" s="1"/>
  <c r="P21" i="16" s="1"/>
  <c r="P22" i="16" s="1"/>
  <c r="P23" i="16" s="1"/>
  <c r="P24" i="16" s="1"/>
  <c r="P25" i="16" s="1"/>
  <c r="P26" i="16" s="1"/>
  <c r="P27" i="16" s="1"/>
  <c r="P28" i="16" s="1"/>
  <c r="P29" i="16" s="1"/>
  <c r="P30" i="16" s="1"/>
  <c r="P31" i="16" s="1"/>
  <c r="P32" i="16" s="1"/>
  <c r="P33" i="16" s="1"/>
  <c r="P34" i="16" s="1"/>
  <c r="P35" i="16" s="1"/>
  <c r="P36" i="16" s="1"/>
  <c r="P37" i="16" s="1"/>
  <c r="P38" i="16" s="1"/>
  <c r="P39" i="16" s="1"/>
  <c r="K10" i="16"/>
  <c r="K11" i="16" s="1"/>
  <c r="K12" i="16" s="1"/>
  <c r="K13" i="16" s="1"/>
  <c r="K14" i="16" s="1"/>
  <c r="K15" i="16" s="1"/>
  <c r="K16" i="16" s="1"/>
  <c r="K17" i="16" s="1"/>
  <c r="K18" i="16" s="1"/>
  <c r="K19" i="16" s="1"/>
  <c r="K20" i="16" s="1"/>
  <c r="K21" i="16" s="1"/>
  <c r="K22" i="16" s="1"/>
  <c r="K23" i="16" s="1"/>
  <c r="K24" i="16" s="1"/>
  <c r="K25" i="16" s="1"/>
  <c r="K26" i="16" s="1"/>
  <c r="K27" i="16" s="1"/>
  <c r="K28" i="16" s="1"/>
  <c r="K29" i="16" s="1"/>
  <c r="K30" i="16" s="1"/>
  <c r="K31" i="16" s="1"/>
  <c r="K32" i="16" s="1"/>
  <c r="K33" i="16" s="1"/>
  <c r="K34" i="16" s="1"/>
  <c r="K35" i="16" s="1"/>
  <c r="K36" i="16" s="1"/>
  <c r="K37" i="16" s="1"/>
  <c r="K38" i="16" s="1"/>
  <c r="K39" i="16" s="1"/>
  <c r="C10" i="16"/>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C32" i="16" s="1"/>
  <c r="C33" i="16" s="1"/>
  <c r="C34" i="16" s="1"/>
  <c r="C35" i="16" s="1"/>
  <c r="C36" i="16" s="1"/>
  <c r="C37" i="16" s="1"/>
  <c r="C38" i="16" s="1"/>
  <c r="C39" i="16" s="1"/>
  <c r="Q50" i="16"/>
  <c r="Q51" i="16" s="1"/>
  <c r="Q52" i="16" s="1"/>
  <c r="Q53" i="16" s="1"/>
  <c r="Q54" i="16" s="1"/>
  <c r="Q55" i="16" s="1"/>
  <c r="Q56" i="16" s="1"/>
  <c r="Q57" i="16" s="1"/>
  <c r="Q58" i="16" s="1"/>
  <c r="Q59" i="16" s="1"/>
  <c r="Q60" i="16" s="1"/>
  <c r="Q61" i="16" s="1"/>
  <c r="Q62" i="16" s="1"/>
  <c r="Q63" i="16" s="1"/>
  <c r="Q64" i="16" s="1"/>
  <c r="Q65" i="16" s="1"/>
  <c r="Q66" i="16" s="1"/>
  <c r="Q67" i="16" s="1"/>
  <c r="Q68" i="16" s="1"/>
  <c r="Q69" i="16" s="1"/>
  <c r="Q70" i="16" s="1"/>
  <c r="Q71" i="16" s="1"/>
  <c r="Q72" i="16" s="1"/>
  <c r="Q73" i="16" s="1"/>
  <c r="Q74" i="16" s="1"/>
  <c r="Q75" i="16" s="1"/>
  <c r="Q76" i="16" s="1"/>
  <c r="Q77" i="16" s="1"/>
  <c r="Q78" i="16" s="1"/>
  <c r="Q79" i="16" s="1"/>
  <c r="L50" i="16"/>
  <c r="L51" i="16"/>
  <c r="L52" i="16" s="1"/>
  <c r="L53" i="16" s="1"/>
  <c r="L54" i="16" s="1"/>
  <c r="L55" i="16" s="1"/>
  <c r="L56" i="16" s="1"/>
  <c r="L57" i="16" s="1"/>
  <c r="L58" i="16" s="1"/>
  <c r="L59" i="16" s="1"/>
  <c r="L60" i="16" s="1"/>
  <c r="L61" i="16" s="1"/>
  <c r="L62" i="16" s="1"/>
  <c r="L63" i="16" s="1"/>
  <c r="L64" i="16" s="1"/>
  <c r="L65" i="16" s="1"/>
  <c r="L66" i="16" s="1"/>
  <c r="L67" i="16" s="1"/>
  <c r="L68" i="16" s="1"/>
  <c r="L69" i="16" s="1"/>
  <c r="L70" i="16" s="1"/>
  <c r="L71" i="16" s="1"/>
  <c r="L72" i="16" s="1"/>
  <c r="L73" i="16" s="1"/>
  <c r="L74" i="16" s="1"/>
  <c r="L75" i="16" s="1"/>
  <c r="L76" i="16" s="1"/>
  <c r="L77" i="16" s="1"/>
  <c r="L78" i="16" s="1"/>
  <c r="L79" i="16" s="1"/>
  <c r="H50" i="16"/>
  <c r="H51" i="16" s="1"/>
  <c r="H52" i="16" s="1"/>
  <c r="H53" i="16" s="1"/>
  <c r="H54" i="16" s="1"/>
  <c r="H55" i="16" s="1"/>
  <c r="H56" i="16" s="1"/>
  <c r="H57" i="16" s="1"/>
  <c r="H58" i="16" s="1"/>
  <c r="H59" i="16" s="1"/>
  <c r="H60" i="16" s="1"/>
  <c r="H61" i="16" s="1"/>
  <c r="H62" i="16" s="1"/>
  <c r="H63" i="16" s="1"/>
  <c r="H64" i="16" s="1"/>
  <c r="H65" i="16" s="1"/>
  <c r="H66" i="16" s="1"/>
  <c r="H67" i="16" s="1"/>
  <c r="H68" i="16" s="1"/>
  <c r="H69" i="16" s="1"/>
  <c r="H70" i="16" s="1"/>
  <c r="H71" i="16" s="1"/>
  <c r="H72" i="16" s="1"/>
  <c r="H73" i="16" s="1"/>
  <c r="H74" i="16" s="1"/>
  <c r="H75" i="16" s="1"/>
  <c r="H76" i="16" s="1"/>
  <c r="H77" i="16" s="1"/>
  <c r="H78" i="16" s="1"/>
  <c r="H79" i="16" s="1"/>
  <c r="O90" i="16"/>
  <c r="O91" i="16" s="1"/>
  <c r="O92" i="16" s="1"/>
  <c r="O93" i="16" s="1"/>
  <c r="O94" i="16" s="1"/>
  <c r="O95" i="16" s="1"/>
  <c r="O96" i="16" s="1"/>
  <c r="O97" i="16" s="1"/>
  <c r="O98" i="16" s="1"/>
  <c r="O99" i="16" s="1"/>
  <c r="O100" i="16" s="1"/>
  <c r="O101" i="16" s="1"/>
  <c r="O102" i="16" s="1"/>
  <c r="O103" i="16" s="1"/>
  <c r="O104" i="16" s="1"/>
  <c r="O105" i="16" s="1"/>
  <c r="O106" i="16" s="1"/>
  <c r="O107" i="16" s="1"/>
  <c r="O108" i="16" s="1"/>
  <c r="O109" i="16" s="1"/>
  <c r="O110" i="16" s="1"/>
  <c r="O111" i="16" s="1"/>
  <c r="O112" i="16" s="1"/>
  <c r="O113" i="16" s="1"/>
  <c r="O114" i="16" s="1"/>
  <c r="O115" i="16" s="1"/>
  <c r="O116" i="16" s="1"/>
  <c r="O117" i="16" s="1"/>
  <c r="O118" i="16" s="1"/>
  <c r="O119" i="16" s="1"/>
  <c r="N101" i="16"/>
  <c r="N102" i="16" s="1"/>
  <c r="N103" i="16" s="1"/>
  <c r="N104" i="16" s="1"/>
  <c r="N105" i="16" s="1"/>
  <c r="N106" i="16" s="1"/>
  <c r="N107" i="16" s="1"/>
  <c r="N108" i="16" s="1"/>
  <c r="N109" i="16" s="1"/>
  <c r="N110" i="16" s="1"/>
  <c r="N111" i="16" s="1"/>
  <c r="N112" i="16" s="1"/>
  <c r="N113" i="16" s="1"/>
  <c r="N114" i="16" s="1"/>
  <c r="N115" i="16" s="1"/>
  <c r="N116" i="16" s="1"/>
  <c r="N117" i="16" s="1"/>
  <c r="N118" i="16" s="1"/>
  <c r="N119" i="16" s="1"/>
  <c r="J90" i="16"/>
  <c r="J91" i="16" s="1"/>
  <c r="J92" i="16" s="1"/>
  <c r="J93" i="16" s="1"/>
  <c r="J94" i="16" s="1"/>
  <c r="J95" i="16" s="1"/>
  <c r="J96" i="16" s="1"/>
  <c r="J97" i="16" s="1"/>
  <c r="J98" i="16" s="1"/>
  <c r="J99" i="16" s="1"/>
  <c r="J100" i="16" s="1"/>
  <c r="J101" i="16" s="1"/>
  <c r="J102" i="16" s="1"/>
  <c r="J103" i="16" s="1"/>
  <c r="J104" i="16" s="1"/>
  <c r="J105" i="16" s="1"/>
  <c r="J106" i="16" s="1"/>
  <c r="J107" i="16" s="1"/>
  <c r="J108" i="16" s="1"/>
  <c r="J109" i="16" s="1"/>
  <c r="J110" i="16" s="1"/>
  <c r="J111" i="16" s="1"/>
  <c r="J112" i="16" s="1"/>
  <c r="J113" i="16" s="1"/>
  <c r="J114" i="16" s="1"/>
  <c r="J115" i="16" s="1"/>
  <c r="J116" i="16" s="1"/>
  <c r="J117" i="16" s="1"/>
  <c r="J118" i="16" s="1"/>
  <c r="J119" i="16" s="1"/>
  <c r="E90" i="16"/>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111" i="16" s="1"/>
  <c r="E112" i="16" s="1"/>
  <c r="E113" i="16" s="1"/>
  <c r="E114" i="16" s="1"/>
  <c r="E115" i="16" s="1"/>
  <c r="E116" i="16" s="1"/>
  <c r="E117" i="16" s="1"/>
  <c r="E118" i="16" s="1"/>
  <c r="E119" i="16" s="1"/>
  <c r="Q170" i="16"/>
  <c r="Q171" i="16" s="1"/>
  <c r="Q172" i="16" s="1"/>
  <c r="Q173" i="16" s="1"/>
  <c r="Q174" i="16" s="1"/>
  <c r="Q175" i="16" s="1"/>
  <c r="Q176" i="16" s="1"/>
  <c r="Q177" i="16" s="1"/>
  <c r="Q178" i="16"/>
  <c r="Q179" i="16" s="1"/>
  <c r="Q180" i="16" s="1"/>
  <c r="Q181" i="16" s="1"/>
  <c r="Q182" i="16" s="1"/>
  <c r="Q183" i="16" s="1"/>
  <c r="Q184" i="16" s="1"/>
  <c r="Q185" i="16" s="1"/>
  <c r="Q186" i="16" s="1"/>
  <c r="Q187" i="16" s="1"/>
  <c r="Q188" i="16" s="1"/>
  <c r="Q189" i="16" s="1"/>
  <c r="Q190" i="16" s="1"/>
  <c r="Q191" i="16" s="1"/>
  <c r="Q192" i="16" s="1"/>
  <c r="Q193" i="16" s="1"/>
  <c r="Q194" i="16" s="1"/>
  <c r="Q195" i="16" s="1"/>
  <c r="Q196" i="16" s="1"/>
  <c r="Q197" i="16" s="1"/>
  <c r="Q198" i="16" s="1"/>
  <c r="Q199" i="16" s="1"/>
  <c r="L170" i="16"/>
  <c r="L171" i="16" s="1"/>
  <c r="L172" i="16" s="1"/>
  <c r="L173" i="16" s="1"/>
  <c r="L174" i="16" s="1"/>
  <c r="L175" i="16" s="1"/>
  <c r="L176" i="16" s="1"/>
  <c r="L177" i="16" s="1"/>
  <c r="L178" i="16" s="1"/>
  <c r="L179" i="16" s="1"/>
  <c r="L180" i="16" s="1"/>
  <c r="L181" i="16" s="1"/>
  <c r="L182" i="16" s="1"/>
  <c r="L183" i="16" s="1"/>
  <c r="L184" i="16" s="1"/>
  <c r="L185" i="16" s="1"/>
  <c r="L186" i="16" s="1"/>
  <c r="L187" i="16" s="1"/>
  <c r="L188" i="16" s="1"/>
  <c r="L189" i="16" s="1"/>
  <c r="L190" i="16" s="1"/>
  <c r="L191" i="16" s="1"/>
  <c r="L192" i="16" s="1"/>
  <c r="L193" i="16" s="1"/>
  <c r="L194" i="16" s="1"/>
  <c r="L195" i="16" s="1"/>
  <c r="L196" i="16" s="1"/>
  <c r="L197" i="16" s="1"/>
  <c r="L198" i="16" s="1"/>
  <c r="L199" i="16" s="1"/>
  <c r="H170" i="16"/>
  <c r="H171" i="16" s="1"/>
  <c r="H172" i="16" s="1"/>
  <c r="H173" i="16" s="1"/>
  <c r="H174" i="16" s="1"/>
  <c r="H175" i="16" s="1"/>
  <c r="H176" i="16" s="1"/>
  <c r="H177" i="16" s="1"/>
  <c r="H178" i="16" s="1"/>
  <c r="H179" i="16" s="1"/>
  <c r="H180" i="16" s="1"/>
  <c r="H181" i="16" s="1"/>
  <c r="H182" i="16" s="1"/>
  <c r="H183" i="16" s="1"/>
  <c r="H184" i="16" s="1"/>
  <c r="H185" i="16" s="1"/>
  <c r="H186" i="16" s="1"/>
  <c r="H187" i="16" s="1"/>
  <c r="H188" i="16" s="1"/>
  <c r="H189" i="16" s="1"/>
  <c r="H190" i="16" s="1"/>
  <c r="H191" i="16" s="1"/>
  <c r="H192" i="16" s="1"/>
  <c r="H193" i="16" s="1"/>
  <c r="H194" i="16" s="1"/>
  <c r="H195" i="16" s="1"/>
  <c r="H196" i="16" s="1"/>
  <c r="H197" i="16" s="1"/>
  <c r="H198" i="16" s="1"/>
  <c r="H199" i="16" s="1"/>
  <c r="O130" i="16"/>
  <c r="O131" i="16" s="1"/>
  <c r="O132" i="16" s="1"/>
  <c r="O133" i="16" s="1"/>
  <c r="O134" i="16" s="1"/>
  <c r="O135" i="16" s="1"/>
  <c r="O136" i="16" s="1"/>
  <c r="O137" i="16"/>
  <c r="O138" i="16" s="1"/>
  <c r="O139" i="16" s="1"/>
  <c r="O140" i="16" s="1"/>
  <c r="O141" i="16" s="1"/>
  <c r="O142" i="16" s="1"/>
  <c r="O143" i="16" s="1"/>
  <c r="O144" i="16" s="1"/>
  <c r="O145" i="16" s="1"/>
  <c r="O146" i="16" s="1"/>
  <c r="O147" i="16" s="1"/>
  <c r="O148" i="16" s="1"/>
  <c r="O149" i="16" s="1"/>
  <c r="O150" i="16" s="1"/>
  <c r="O151" i="16" s="1"/>
  <c r="O152" i="16" s="1"/>
  <c r="O153" i="16" s="1"/>
  <c r="O154" i="16" s="1"/>
  <c r="O155" i="16" s="1"/>
  <c r="O156" i="16" s="1"/>
  <c r="O157" i="16" s="1"/>
  <c r="O158" i="16" s="1"/>
  <c r="O159" i="16" s="1"/>
  <c r="J130" i="16"/>
  <c r="J131" i="16" s="1"/>
  <c r="J132" i="16" s="1"/>
  <c r="J133" i="16" s="1"/>
  <c r="J134" i="16" s="1"/>
  <c r="J135" i="16" s="1"/>
  <c r="J136" i="16" s="1"/>
  <c r="J137" i="16" s="1"/>
  <c r="J138" i="16" s="1"/>
  <c r="J139" i="16" s="1"/>
  <c r="J140" i="16" s="1"/>
  <c r="J141" i="16" s="1"/>
  <c r="J142" i="16" s="1"/>
  <c r="J143" i="16" s="1"/>
  <c r="J144" i="16" s="1"/>
  <c r="J145" i="16" s="1"/>
  <c r="J146" i="16" s="1"/>
  <c r="J147" i="16" s="1"/>
  <c r="J148" i="16" s="1"/>
  <c r="J149" i="16" s="1"/>
  <c r="J150" i="16" s="1"/>
  <c r="J151" i="16" s="1"/>
  <c r="J152" i="16" s="1"/>
  <c r="J153" i="16" s="1"/>
  <c r="J154" i="16" s="1"/>
  <c r="J155" i="16" s="1"/>
  <c r="J156" i="16" s="1"/>
  <c r="J157" i="16" s="1"/>
  <c r="J158" i="16" s="1"/>
  <c r="J159" i="16" s="1"/>
  <c r="O13" i="16"/>
  <c r="O14" i="16" s="1"/>
  <c r="O15" i="16" s="1"/>
  <c r="O16" i="16" s="1"/>
  <c r="O17" i="16" s="1"/>
  <c r="O18" i="16" s="1"/>
  <c r="O19" i="16" s="1"/>
  <c r="O20" i="16" s="1"/>
  <c r="O21" i="16" s="1"/>
  <c r="O22" i="16" s="1"/>
  <c r="O23" i="16" s="1"/>
  <c r="O24" i="16" s="1"/>
  <c r="O25" i="16" s="1"/>
  <c r="O26" i="16" s="1"/>
  <c r="O27" i="16" s="1"/>
  <c r="O28" i="16" s="1"/>
  <c r="O29" i="16" s="1"/>
  <c r="O30" i="16" s="1"/>
  <c r="O31" i="16" s="1"/>
  <c r="O32" i="16" s="1"/>
  <c r="O33" i="16" s="1"/>
  <c r="O34" i="16" s="1"/>
  <c r="O35" i="16" s="1"/>
  <c r="O36" i="16" s="1"/>
  <c r="O37" i="16" s="1"/>
  <c r="O38" i="16" s="1"/>
  <c r="O39" i="16" s="1"/>
  <c r="F10" i="16"/>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D50" i="16"/>
  <c r="D51" i="16" s="1"/>
  <c r="D52" i="16" s="1"/>
  <c r="D53" i="16" s="1"/>
  <c r="D54" i="16" s="1"/>
  <c r="D55" i="16" s="1"/>
  <c r="D56" i="16" s="1"/>
  <c r="D57" i="16" s="1"/>
  <c r="D58" i="16" s="1"/>
  <c r="D59" i="16" s="1"/>
  <c r="D60" i="16" s="1"/>
  <c r="D61" i="16" s="1"/>
  <c r="D62" i="16" s="1"/>
  <c r="D63" i="16" s="1"/>
  <c r="D64" i="16" s="1"/>
  <c r="D65" i="16" s="1"/>
  <c r="D66" i="16" s="1"/>
  <c r="D67" i="16" s="1"/>
  <c r="D68" i="16" s="1"/>
  <c r="D69" i="16" s="1"/>
  <c r="D70" i="16" s="1"/>
  <c r="D71" i="16" s="1"/>
  <c r="D72" i="16" s="1"/>
  <c r="D73" i="16" s="1"/>
  <c r="D74" i="16" s="1"/>
  <c r="D75" i="16" s="1"/>
  <c r="D76" i="16" s="1"/>
  <c r="D77" i="16" s="1"/>
  <c r="D78" i="16" s="1"/>
  <c r="D79" i="16" s="1"/>
  <c r="D170" i="16"/>
  <c r="D171" i="16" s="1"/>
  <c r="D172" i="16" s="1"/>
  <c r="D173" i="16" s="1"/>
  <c r="D174" i="16" s="1"/>
  <c r="D175" i="16" s="1"/>
  <c r="D176" i="16" s="1"/>
  <c r="D177" i="16" s="1"/>
  <c r="D178" i="16" s="1"/>
  <c r="D179" i="16" s="1"/>
  <c r="D180" i="16" s="1"/>
  <c r="D181" i="16" s="1"/>
  <c r="D182" i="16" s="1"/>
  <c r="D183" i="16" s="1"/>
  <c r="D184" i="16" s="1"/>
  <c r="D185" i="16" s="1"/>
  <c r="D186" i="16" s="1"/>
  <c r="D187" i="16" s="1"/>
  <c r="D188" i="16" s="1"/>
  <c r="D189" i="16" s="1"/>
  <c r="D190" i="16" s="1"/>
  <c r="D191" i="16" s="1"/>
  <c r="D192" i="16" s="1"/>
  <c r="D193" i="16" s="1"/>
  <c r="D194" i="16" s="1"/>
  <c r="D195" i="16" s="1"/>
  <c r="D196" i="16" s="1"/>
  <c r="D197" i="16" s="1"/>
  <c r="D198" i="16" s="1"/>
  <c r="D199" i="16" s="1"/>
  <c r="R10" i="16"/>
  <c r="R11" i="16" s="1"/>
  <c r="R12" i="16" s="1"/>
  <c r="R13" i="16" s="1"/>
  <c r="R14" i="16" s="1"/>
  <c r="R15" i="16" s="1"/>
  <c r="R16" i="16" s="1"/>
  <c r="R17" i="16" s="1"/>
  <c r="R18" i="16" s="1"/>
  <c r="R19" i="16" s="1"/>
  <c r="R20" i="16" s="1"/>
  <c r="R21" i="16" s="1"/>
  <c r="R22" i="16" s="1"/>
  <c r="R23" i="16" s="1"/>
  <c r="R24" i="16" s="1"/>
  <c r="R25" i="16" s="1"/>
  <c r="R26" i="16" s="1"/>
  <c r="R27" i="16" s="1"/>
  <c r="R28" i="16" s="1"/>
  <c r="R29" i="16" s="1"/>
  <c r="R30" i="16" s="1"/>
  <c r="R31" i="16" s="1"/>
  <c r="R32" i="16" s="1"/>
  <c r="R33" i="16" s="1"/>
  <c r="R34" i="16" s="1"/>
  <c r="R35" i="16" s="1"/>
  <c r="R36" i="16" s="1"/>
  <c r="R37" i="16" s="1"/>
  <c r="R38" i="16" s="1"/>
  <c r="R39" i="16" s="1"/>
  <c r="N10" i="16"/>
  <c r="N11" i="16" s="1"/>
  <c r="N12" i="16" s="1"/>
  <c r="N13" i="16" s="1"/>
  <c r="N14" i="16" s="1"/>
  <c r="N15" i="16" s="1"/>
  <c r="N16" i="16" s="1"/>
  <c r="N17" i="16" s="1"/>
  <c r="N18" i="16" s="1"/>
  <c r="N19" i="16" s="1"/>
  <c r="N20" i="16" s="1"/>
  <c r="N21" i="16" s="1"/>
  <c r="N22" i="16" s="1"/>
  <c r="N23" i="16" s="1"/>
  <c r="N24" i="16" s="1"/>
  <c r="N25" i="16" s="1"/>
  <c r="N26" i="16" s="1"/>
  <c r="N27" i="16" s="1"/>
  <c r="N28" i="16" s="1"/>
  <c r="N29" i="16" s="1"/>
  <c r="N30" i="16" s="1"/>
  <c r="N31" i="16" s="1"/>
  <c r="N32" i="16" s="1"/>
  <c r="N33" i="16" s="1"/>
  <c r="N34" i="16" s="1"/>
  <c r="N35" i="16" s="1"/>
  <c r="N36" i="16" s="1"/>
  <c r="N37" i="16" s="1"/>
  <c r="N38" i="16" s="1"/>
  <c r="N39" i="16" s="1"/>
  <c r="I10" i="16"/>
  <c r="I11" i="16" s="1"/>
  <c r="I12" i="16" s="1"/>
  <c r="I13" i="16" s="1"/>
  <c r="I14" i="16" s="1"/>
  <c r="I15" i="16" s="1"/>
  <c r="I16" i="16" s="1"/>
  <c r="I17" i="16" s="1"/>
  <c r="I18" i="16" s="1"/>
  <c r="I19" i="16" s="1"/>
  <c r="I20" i="16" s="1"/>
  <c r="I21" i="16" s="1"/>
  <c r="I22" i="16" s="1"/>
  <c r="I23" i="16" s="1"/>
  <c r="I24" i="16" s="1"/>
  <c r="I25" i="16" s="1"/>
  <c r="I26" i="16" s="1"/>
  <c r="I27" i="16" s="1"/>
  <c r="I28" i="16" s="1"/>
  <c r="I29" i="16" s="1"/>
  <c r="I30" i="16" s="1"/>
  <c r="I31" i="16" s="1"/>
  <c r="I32" i="16" s="1"/>
  <c r="I33" i="16" s="1"/>
  <c r="I34" i="16" s="1"/>
  <c r="I35" i="16" s="1"/>
  <c r="I36" i="16" s="1"/>
  <c r="I37" i="16" s="1"/>
  <c r="I38" i="16" s="1"/>
  <c r="I39" i="16" s="1"/>
  <c r="O50" i="16"/>
  <c r="O51" i="16" s="1"/>
  <c r="O52" i="16" s="1"/>
  <c r="O53" i="16" s="1"/>
  <c r="O54" i="16" s="1"/>
  <c r="O55" i="16" s="1"/>
  <c r="O56" i="16" s="1"/>
  <c r="O57" i="16" s="1"/>
  <c r="O58" i="16" s="1"/>
  <c r="O59" i="16" s="1"/>
  <c r="O60" i="16" s="1"/>
  <c r="O61" i="16" s="1"/>
  <c r="O62" i="16" s="1"/>
  <c r="O63" i="16" s="1"/>
  <c r="O64" i="16" s="1"/>
  <c r="O65" i="16" s="1"/>
  <c r="O66" i="16" s="1"/>
  <c r="O67" i="16" s="1"/>
  <c r="O68" i="16" s="1"/>
  <c r="O69" i="16" s="1"/>
  <c r="O70" i="16" s="1"/>
  <c r="O71" i="16" s="1"/>
  <c r="O72" i="16" s="1"/>
  <c r="O73" i="16" s="1"/>
  <c r="O74" i="16" s="1"/>
  <c r="O75" i="16" s="1"/>
  <c r="O76" i="16" s="1"/>
  <c r="O77" i="16" s="1"/>
  <c r="O78" i="16" s="1"/>
  <c r="O79" i="16" s="1"/>
  <c r="J50" i="16"/>
  <c r="J51" i="16" s="1"/>
  <c r="J52" i="16" s="1"/>
  <c r="J53" i="16" s="1"/>
  <c r="J54" i="16" s="1"/>
  <c r="J55" i="16" s="1"/>
  <c r="J56" i="16" s="1"/>
  <c r="J57" i="16" s="1"/>
  <c r="J58" i="16" s="1"/>
  <c r="J59" i="16" s="1"/>
  <c r="J60" i="16" s="1"/>
  <c r="J61" i="16" s="1"/>
  <c r="J62" i="16" s="1"/>
  <c r="J63" i="16" s="1"/>
  <c r="J64" i="16" s="1"/>
  <c r="J65" i="16" s="1"/>
  <c r="J66" i="16" s="1"/>
  <c r="J67" i="16" s="1"/>
  <c r="J68" i="16" s="1"/>
  <c r="J69" i="16" s="1"/>
  <c r="J70" i="16" s="1"/>
  <c r="J71" i="16" s="1"/>
  <c r="J72" i="16" s="1"/>
  <c r="J73" i="16" s="1"/>
  <c r="J74" i="16" s="1"/>
  <c r="J75" i="16" s="1"/>
  <c r="J76" i="16" s="1"/>
  <c r="J77" i="16" s="1"/>
  <c r="J78" i="16" s="1"/>
  <c r="J79" i="16" s="1"/>
  <c r="I52" i="16"/>
  <c r="I53" i="16" s="1"/>
  <c r="I54" i="16" s="1"/>
  <c r="I55" i="16" s="1"/>
  <c r="I56" i="16" s="1"/>
  <c r="I57" i="16" s="1"/>
  <c r="I58" i="16" s="1"/>
  <c r="I59" i="16" s="1"/>
  <c r="I60" i="16" s="1"/>
  <c r="I61" i="16" s="1"/>
  <c r="I62" i="16" s="1"/>
  <c r="I63" i="16" s="1"/>
  <c r="I64" i="16" s="1"/>
  <c r="I65" i="16" s="1"/>
  <c r="I66" i="16" s="1"/>
  <c r="I67" i="16" s="1"/>
  <c r="I68" i="16" s="1"/>
  <c r="I69" i="16" s="1"/>
  <c r="I70" i="16" s="1"/>
  <c r="I71" i="16" s="1"/>
  <c r="I72" i="16" s="1"/>
  <c r="I73" i="16" s="1"/>
  <c r="I74" i="16" s="1"/>
  <c r="I75" i="16" s="1"/>
  <c r="I76" i="16" s="1"/>
  <c r="I77" i="16" s="1"/>
  <c r="I78" i="16" s="1"/>
  <c r="I79" i="16" s="1"/>
  <c r="E50" i="16"/>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Q90" i="16"/>
  <c r="Q91" i="16"/>
  <c r="Q92" i="16" s="1"/>
  <c r="Q93" i="16" s="1"/>
  <c r="Q94" i="16" s="1"/>
  <c r="Q95" i="16" s="1"/>
  <c r="Q96" i="16" s="1"/>
  <c r="Q97" i="16" s="1"/>
  <c r="Q98" i="16" s="1"/>
  <c r="Q99" i="16" s="1"/>
  <c r="Q100" i="16" s="1"/>
  <c r="Q101" i="16" s="1"/>
  <c r="Q102" i="16" s="1"/>
  <c r="Q103" i="16" s="1"/>
  <c r="Q104" i="16" s="1"/>
  <c r="Q105" i="16" s="1"/>
  <c r="Q106" i="16" s="1"/>
  <c r="Q107" i="16" s="1"/>
  <c r="Q108" i="16" s="1"/>
  <c r="Q109" i="16" s="1"/>
  <c r="Q110" i="16" s="1"/>
  <c r="Q111" i="16" s="1"/>
  <c r="Q112" i="16" s="1"/>
  <c r="Q113" i="16" s="1"/>
  <c r="Q114" i="16" s="1"/>
  <c r="Q115" i="16" s="1"/>
  <c r="Q116" i="16" s="1"/>
  <c r="Q117" i="16" s="1"/>
  <c r="Q118" i="16" s="1"/>
  <c r="Q119" i="16" s="1"/>
  <c r="L90" i="16"/>
  <c r="L91" i="16" s="1"/>
  <c r="L92" i="16" s="1"/>
  <c r="L93" i="16" s="1"/>
  <c r="L94" i="16" s="1"/>
  <c r="L95" i="16" s="1"/>
  <c r="L96" i="16" s="1"/>
  <c r="L97" i="16" s="1"/>
  <c r="L98" i="16" s="1"/>
  <c r="L99" i="16" s="1"/>
  <c r="L100" i="16" s="1"/>
  <c r="L101" i="16" s="1"/>
  <c r="L102" i="16" s="1"/>
  <c r="L103" i="16" s="1"/>
  <c r="L104" i="16" s="1"/>
  <c r="L105" i="16" s="1"/>
  <c r="L106" i="16" s="1"/>
  <c r="L107" i="16" s="1"/>
  <c r="L108" i="16" s="1"/>
  <c r="L109" i="16" s="1"/>
  <c r="L110" i="16" s="1"/>
  <c r="L111" i="16" s="1"/>
  <c r="L112" i="16" s="1"/>
  <c r="L113" i="16" s="1"/>
  <c r="L114" i="16" s="1"/>
  <c r="L115" i="16" s="1"/>
  <c r="L116" i="16" s="1"/>
  <c r="L117" i="16" s="1"/>
  <c r="L118" i="16" s="1"/>
  <c r="L119" i="16" s="1"/>
  <c r="K92" i="16"/>
  <c r="K93" i="16" s="1"/>
  <c r="K94" i="16" s="1"/>
  <c r="K95" i="16" s="1"/>
  <c r="K96" i="16" s="1"/>
  <c r="K97" i="16" s="1"/>
  <c r="K98" i="16" s="1"/>
  <c r="K99" i="16" s="1"/>
  <c r="K100" i="16" s="1"/>
  <c r="K101" i="16" s="1"/>
  <c r="K102" i="16" s="1"/>
  <c r="K103" i="16" s="1"/>
  <c r="K104" i="16" s="1"/>
  <c r="K105" i="16" s="1"/>
  <c r="K106" i="16" s="1"/>
  <c r="K107" i="16" s="1"/>
  <c r="K108" i="16" s="1"/>
  <c r="K109" i="16" s="1"/>
  <c r="K110" i="16" s="1"/>
  <c r="K111" i="16" s="1"/>
  <c r="K112" i="16" s="1"/>
  <c r="K113" i="16" s="1"/>
  <c r="K114" i="16" s="1"/>
  <c r="K115" i="16" s="1"/>
  <c r="K116" i="16" s="1"/>
  <c r="K117" i="16" s="1"/>
  <c r="K118" i="16" s="1"/>
  <c r="K119" i="16" s="1"/>
  <c r="H90" i="16"/>
  <c r="H91" i="16" s="1"/>
  <c r="H92" i="16" s="1"/>
  <c r="H93" i="16" s="1"/>
  <c r="H94" i="16" s="1"/>
  <c r="H95" i="16" s="1"/>
  <c r="H96" i="16" s="1"/>
  <c r="H97" i="16" s="1"/>
  <c r="H98" i="16" s="1"/>
  <c r="H99" i="16" s="1"/>
  <c r="H100" i="16" s="1"/>
  <c r="H101" i="16" s="1"/>
  <c r="H102" i="16" s="1"/>
  <c r="H103" i="16" s="1"/>
  <c r="H104" i="16" s="1"/>
  <c r="H105" i="16" s="1"/>
  <c r="H106" i="16" s="1"/>
  <c r="H107" i="16" s="1"/>
  <c r="H108" i="16" s="1"/>
  <c r="H109" i="16" s="1"/>
  <c r="H110" i="16" s="1"/>
  <c r="H111" i="16" s="1"/>
  <c r="H112" i="16" s="1"/>
  <c r="H113" i="16" s="1"/>
  <c r="H114" i="16" s="1"/>
  <c r="H115" i="16" s="1"/>
  <c r="H116" i="16" s="1"/>
  <c r="H117" i="16" s="1"/>
  <c r="H118" i="16" s="1"/>
  <c r="H119" i="16" s="1"/>
  <c r="O170" i="16"/>
  <c r="O171" i="16" s="1"/>
  <c r="O172" i="16" s="1"/>
  <c r="O173" i="16" s="1"/>
  <c r="O174" i="16" s="1"/>
  <c r="O175" i="16" s="1"/>
  <c r="O176" i="16" s="1"/>
  <c r="O177" i="16" s="1"/>
  <c r="O178" i="16" s="1"/>
  <c r="O179" i="16" s="1"/>
  <c r="O180" i="16" s="1"/>
  <c r="O181" i="16" s="1"/>
  <c r="O182" i="16" s="1"/>
  <c r="O183" i="16" s="1"/>
  <c r="O184" i="16" s="1"/>
  <c r="O185" i="16" s="1"/>
  <c r="O186" i="16" s="1"/>
  <c r="O187" i="16" s="1"/>
  <c r="O188" i="16" s="1"/>
  <c r="O189" i="16" s="1"/>
  <c r="O190" i="16" s="1"/>
  <c r="O191" i="16" s="1"/>
  <c r="O192" i="16" s="1"/>
  <c r="O193" i="16" s="1"/>
  <c r="O194" i="16" s="1"/>
  <c r="O195" i="16" s="1"/>
  <c r="O196" i="16" s="1"/>
  <c r="O197" i="16" s="1"/>
  <c r="O198" i="16" s="1"/>
  <c r="O199" i="16" s="1"/>
  <c r="J170" i="16"/>
  <c r="J171" i="16" s="1"/>
  <c r="J172" i="16" s="1"/>
  <c r="J173" i="16" s="1"/>
  <c r="J174" i="16" s="1"/>
  <c r="J175" i="16" s="1"/>
  <c r="J176" i="16" s="1"/>
  <c r="J177" i="16" s="1"/>
  <c r="J178" i="16" s="1"/>
  <c r="J179" i="16" s="1"/>
  <c r="J180" i="16" s="1"/>
  <c r="J181" i="16" s="1"/>
  <c r="J182" i="16" s="1"/>
  <c r="J183" i="16" s="1"/>
  <c r="J184" i="16" s="1"/>
  <c r="J185" i="16" s="1"/>
  <c r="J186" i="16" s="1"/>
  <c r="J187" i="16" s="1"/>
  <c r="J188" i="16" s="1"/>
  <c r="J189" i="16" s="1"/>
  <c r="J190" i="16" s="1"/>
  <c r="J191" i="16" s="1"/>
  <c r="J192" i="16" s="1"/>
  <c r="J193" i="16" s="1"/>
  <c r="J194" i="16" s="1"/>
  <c r="J195" i="16" s="1"/>
  <c r="J196" i="16" s="1"/>
  <c r="J197" i="16" s="1"/>
  <c r="J198" i="16" s="1"/>
  <c r="J199" i="16" s="1"/>
  <c r="I173" i="16"/>
  <c r="I174" i="16" s="1"/>
  <c r="I175" i="16" s="1"/>
  <c r="I176" i="16" s="1"/>
  <c r="I177" i="16" s="1"/>
  <c r="I178" i="16" s="1"/>
  <c r="I179" i="16" s="1"/>
  <c r="I180" i="16" s="1"/>
  <c r="I181" i="16" s="1"/>
  <c r="I182" i="16" s="1"/>
  <c r="I183" i="16" s="1"/>
  <c r="I184" i="16" s="1"/>
  <c r="I185" i="16" s="1"/>
  <c r="I186" i="16" s="1"/>
  <c r="I187" i="16" s="1"/>
  <c r="I188" i="16" s="1"/>
  <c r="I189" i="16" s="1"/>
  <c r="I190" i="16" s="1"/>
  <c r="I191" i="16" s="1"/>
  <c r="I192" i="16" s="1"/>
  <c r="I193" i="16" s="1"/>
  <c r="I194" i="16" s="1"/>
  <c r="I195" i="16" s="1"/>
  <c r="I196" i="16" s="1"/>
  <c r="I197" i="16" s="1"/>
  <c r="I198" i="16" s="1"/>
  <c r="I199" i="16" s="1"/>
  <c r="E170" i="16"/>
  <c r="E171" i="16" s="1"/>
  <c r="E172" i="16" s="1"/>
  <c r="E173" i="16" s="1"/>
  <c r="E174" i="16" s="1"/>
  <c r="E175" i="16" s="1"/>
  <c r="E176" i="16" s="1"/>
  <c r="E177" i="16" s="1"/>
  <c r="E178" i="16" s="1"/>
  <c r="E179" i="16" s="1"/>
  <c r="E180" i="16" s="1"/>
  <c r="E181" i="16" s="1"/>
  <c r="E182" i="16" s="1"/>
  <c r="E183" i="16" s="1"/>
  <c r="E184" i="16" s="1"/>
  <c r="E185" i="16" s="1"/>
  <c r="E186" i="16" s="1"/>
  <c r="E187" i="16" s="1"/>
  <c r="E188" i="16" s="1"/>
  <c r="E189" i="16" s="1"/>
  <c r="E190" i="16" s="1"/>
  <c r="E191" i="16" s="1"/>
  <c r="E192" i="16" s="1"/>
  <c r="E193" i="16" s="1"/>
  <c r="E194" i="16" s="1"/>
  <c r="E195" i="16" s="1"/>
  <c r="E196" i="16" s="1"/>
  <c r="E197" i="16" s="1"/>
  <c r="E198" i="16" s="1"/>
  <c r="E199" i="16" s="1"/>
  <c r="Q130" i="16"/>
  <c r="Q131" i="16" s="1"/>
  <c r="Q132" i="16"/>
  <c r="Q133" i="16" s="1"/>
  <c r="Q134" i="16" s="1"/>
  <c r="Q135" i="16" s="1"/>
  <c r="Q136" i="16" s="1"/>
  <c r="Q137" i="16" s="1"/>
  <c r="Q138" i="16" s="1"/>
  <c r="Q139" i="16" s="1"/>
  <c r="Q140" i="16" s="1"/>
  <c r="Q141" i="16" s="1"/>
  <c r="Q142" i="16" s="1"/>
  <c r="Q143" i="16" s="1"/>
  <c r="Q144" i="16" s="1"/>
  <c r="Q145" i="16" s="1"/>
  <c r="Q146" i="16" s="1"/>
  <c r="Q147" i="16" s="1"/>
  <c r="Q148" i="16" s="1"/>
  <c r="Q149" i="16" s="1"/>
  <c r="Q150" i="16" s="1"/>
  <c r="Q151" i="16" s="1"/>
  <c r="Q152" i="16" s="1"/>
  <c r="Q153" i="16" s="1"/>
  <c r="Q154" i="16" s="1"/>
  <c r="Q155" i="16" s="1"/>
  <c r="Q156" i="16" s="1"/>
  <c r="Q157" i="16" s="1"/>
  <c r="Q158" i="16" s="1"/>
  <c r="Q159" i="16" s="1"/>
  <c r="L130" i="16"/>
  <c r="L131" i="16"/>
  <c r="L132" i="16" s="1"/>
  <c r="L133" i="16" s="1"/>
  <c r="L134" i="16" s="1"/>
  <c r="L135" i="16" s="1"/>
  <c r="L136" i="16" s="1"/>
  <c r="L137" i="16" s="1"/>
  <c r="L138" i="16" s="1"/>
  <c r="L139" i="16" s="1"/>
  <c r="L140" i="16" s="1"/>
  <c r="L141" i="16" s="1"/>
  <c r="L142" i="16" s="1"/>
  <c r="L143" i="16" s="1"/>
  <c r="L144" i="16" s="1"/>
  <c r="L145" i="16" s="1"/>
  <c r="L146" i="16" s="1"/>
  <c r="L147" i="16" s="1"/>
  <c r="L148" i="16" s="1"/>
  <c r="L149" i="16" s="1"/>
  <c r="L150" i="16" s="1"/>
  <c r="L151" i="16" s="1"/>
  <c r="L152" i="16" s="1"/>
  <c r="L153" i="16" s="1"/>
  <c r="L154" i="16" s="1"/>
  <c r="L155" i="16" s="1"/>
  <c r="L156" i="16" s="1"/>
  <c r="L157" i="16" s="1"/>
  <c r="L158" i="16" s="1"/>
  <c r="L159" i="16" s="1"/>
  <c r="C130" i="16"/>
  <c r="C131" i="16" s="1"/>
  <c r="C132" i="16" s="1"/>
  <c r="C133" i="16" s="1"/>
  <c r="C134" i="16" s="1"/>
  <c r="C135" i="16" s="1"/>
  <c r="C136" i="16" s="1"/>
  <c r="C137" i="16" s="1"/>
  <c r="C138" i="16" s="1"/>
  <c r="C139" i="16" s="1"/>
  <c r="C140" i="16" s="1"/>
  <c r="C141" i="16" s="1"/>
  <c r="C142" i="16" s="1"/>
  <c r="C143" i="16" s="1"/>
  <c r="C144" i="16" s="1"/>
  <c r="C145" i="16" s="1"/>
  <c r="C146" i="16" s="1"/>
  <c r="C147" i="16" s="1"/>
  <c r="C148" i="16" s="1"/>
  <c r="C149" i="16" s="1"/>
  <c r="C150" i="16" s="1"/>
  <c r="C151" i="16" s="1"/>
  <c r="C152" i="16" s="1"/>
  <c r="C153" i="16" s="1"/>
  <c r="C154" i="16" s="1"/>
  <c r="C155" i="16" s="1"/>
  <c r="C156" i="16" s="1"/>
  <c r="C157" i="16" s="1"/>
  <c r="C158" i="16" s="1"/>
  <c r="C159" i="16" s="1"/>
  <c r="D15" i="26"/>
  <c r="X15" i="26" s="1"/>
  <c r="Y15" i="26" s="1"/>
  <c r="D28" i="12"/>
  <c r="F28" i="12"/>
  <c r="V27" i="17"/>
  <c r="K14" i="17"/>
  <c r="Y14" i="17" s="1"/>
  <c r="K15" i="17"/>
  <c r="Y15" i="17" s="1"/>
  <c r="H16" i="17"/>
  <c r="V16" i="17" s="1"/>
  <c r="X15" i="22"/>
  <c r="M123" i="16"/>
  <c r="M43" i="16"/>
  <c r="M163" i="16"/>
  <c r="E20" i="17"/>
  <c r="N20" i="17"/>
  <c r="W15" i="19"/>
  <c r="X15" i="19"/>
  <c r="Y15" i="19" s="1"/>
  <c r="R38" i="17"/>
  <c r="J13" i="12"/>
  <c r="H26" i="12"/>
  <c r="P12" i="17"/>
  <c r="J32" i="17"/>
  <c r="W15" i="29"/>
  <c r="B12" i="15"/>
  <c r="B35" i="15"/>
  <c r="B25" i="15"/>
  <c r="B8" i="15"/>
  <c r="B15" i="15"/>
  <c r="B22" i="15"/>
  <c r="C15" i="15"/>
  <c r="C9" i="15"/>
  <c r="C8" i="15"/>
  <c r="C10" i="14"/>
  <c r="C14" i="14"/>
  <c r="C7" i="14"/>
  <c r="C8" i="14"/>
  <c r="N31" i="17"/>
  <c r="C10" i="15"/>
  <c r="B21" i="15"/>
  <c r="D14" i="15"/>
  <c r="D37" i="15"/>
  <c r="D35" i="15"/>
  <c r="D16" i="15"/>
  <c r="D26" i="15"/>
  <c r="F37" i="18"/>
  <c r="L30" i="18"/>
  <c r="J25" i="18"/>
  <c r="H20" i="18"/>
  <c r="G15" i="18"/>
  <c r="E10" i="18"/>
  <c r="B36" i="18"/>
  <c r="K34" i="18"/>
  <c r="E28" i="18"/>
  <c r="E22" i="18"/>
  <c r="I16" i="18"/>
  <c r="K10" i="18"/>
  <c r="B10" i="18"/>
  <c r="D18" i="18"/>
  <c r="G28" i="18"/>
  <c r="I10" i="18"/>
  <c r="L20" i="18"/>
  <c r="G31" i="18"/>
  <c r="I27" i="18"/>
  <c r="G12" i="18"/>
  <c r="I22" i="18"/>
  <c r="J33" i="18"/>
  <c r="K32" i="18"/>
  <c r="G26" i="18"/>
  <c r="C20" i="18"/>
  <c r="I13" i="18"/>
  <c r="B16" i="18"/>
  <c r="H33" i="18"/>
  <c r="D27" i="18"/>
  <c r="J20" i="18"/>
  <c r="F14" i="18"/>
  <c r="B9" i="18"/>
  <c r="E34" i="18"/>
  <c r="F36" i="18"/>
  <c r="L29" i="18"/>
  <c r="H23" i="18"/>
  <c r="D17" i="18"/>
  <c r="J10" i="18"/>
  <c r="J23" i="18"/>
  <c r="F11" i="18"/>
  <c r="G21" i="18"/>
  <c r="E32" i="18"/>
  <c r="B8" i="18"/>
  <c r="F15" i="18"/>
  <c r="G25" i="18"/>
  <c r="E37" i="18"/>
  <c r="D34" i="18"/>
  <c r="G27" i="18"/>
  <c r="K21" i="18"/>
  <c r="K15" i="18"/>
  <c r="G9" i="18"/>
  <c r="E33" i="18"/>
  <c r="L26" i="18"/>
  <c r="C21" i="18"/>
  <c r="I14" i="18"/>
  <c r="C9" i="18"/>
  <c r="H32" i="18"/>
  <c r="D26" i="18"/>
  <c r="J19" i="18"/>
  <c r="D14" i="18"/>
  <c r="E8" i="18"/>
  <c r="O20" i="17"/>
  <c r="I16" i="17"/>
  <c r="D32" i="12"/>
  <c r="O10" i="23"/>
  <c r="S11" i="23" s="1"/>
  <c r="O10" i="19"/>
  <c r="N12" i="19" s="1"/>
  <c r="O10" i="29"/>
  <c r="N12" i="29" s="1"/>
  <c r="O10" i="20"/>
  <c r="O10" i="24"/>
  <c r="S11" i="24" s="1"/>
  <c r="O10" i="22"/>
  <c r="S11" i="22" s="1"/>
  <c r="O10" i="26"/>
  <c r="D30" i="12"/>
  <c r="W15" i="20"/>
  <c r="R24" i="17"/>
  <c r="O10" i="21"/>
  <c r="K130" i="16"/>
  <c r="K131" i="16" s="1"/>
  <c r="K132" i="16" s="1"/>
  <c r="K133" i="16" s="1"/>
  <c r="K134" i="16" s="1"/>
  <c r="K135" i="16" s="1"/>
  <c r="K136" i="16" s="1"/>
  <c r="K137" i="16" s="1"/>
  <c r="K138" i="16" s="1"/>
  <c r="K139" i="16" s="1"/>
  <c r="K140" i="16" s="1"/>
  <c r="K141" i="16" s="1"/>
  <c r="K142" i="16" s="1"/>
  <c r="K143" i="16" s="1"/>
  <c r="K144" i="16" s="1"/>
  <c r="K145" i="16" s="1"/>
  <c r="K146" i="16" s="1"/>
  <c r="K147" i="16" s="1"/>
  <c r="K148" i="16" s="1"/>
  <c r="K149" i="16" s="1"/>
  <c r="K150" i="16" s="1"/>
  <c r="K151" i="16" s="1"/>
  <c r="K152" i="16" s="1"/>
  <c r="K153" i="16" s="1"/>
  <c r="K154" i="16" s="1"/>
  <c r="K155" i="16" s="1"/>
  <c r="K156" i="16" s="1"/>
  <c r="K157" i="16" s="1"/>
  <c r="K158" i="16" s="1"/>
  <c r="K159" i="16" s="1"/>
  <c r="K170" i="16"/>
  <c r="K171" i="16" s="1"/>
  <c r="K172" i="16" s="1"/>
  <c r="K173" i="16" s="1"/>
  <c r="K174" i="16" s="1"/>
  <c r="K175" i="16" s="1"/>
  <c r="K176" i="16" s="1"/>
  <c r="K177" i="16" s="1"/>
  <c r="K178" i="16" s="1"/>
  <c r="K179" i="16" s="1"/>
  <c r="K180" i="16" s="1"/>
  <c r="K181" i="16" s="1"/>
  <c r="K182" i="16" s="1"/>
  <c r="K183" i="16" s="1"/>
  <c r="K184" i="16" s="1"/>
  <c r="K185" i="16" s="1"/>
  <c r="K186" i="16" s="1"/>
  <c r="K187" i="16" s="1"/>
  <c r="K188" i="16" s="1"/>
  <c r="K189" i="16" s="1"/>
  <c r="K190" i="16" s="1"/>
  <c r="K191" i="16" s="1"/>
  <c r="K192" i="16" s="1"/>
  <c r="K193" i="16" s="1"/>
  <c r="K194" i="16" s="1"/>
  <c r="K195" i="16" s="1"/>
  <c r="K196" i="16" s="1"/>
  <c r="K197" i="16" s="1"/>
  <c r="K198" i="16" s="1"/>
  <c r="K199" i="16" s="1"/>
  <c r="D90" i="16"/>
  <c r="D91" i="16" s="1"/>
  <c r="D92" i="16"/>
  <c r="D93" i="16" s="1"/>
  <c r="D94" i="16" s="1"/>
  <c r="D95" i="16" s="1"/>
  <c r="D96" i="16" s="1"/>
  <c r="D97" i="16" s="1"/>
  <c r="D98" i="16" s="1"/>
  <c r="D99" i="16" s="1"/>
  <c r="D100" i="16" s="1"/>
  <c r="D101" i="16" s="1"/>
  <c r="D102" i="16" s="1"/>
  <c r="D103" i="16" s="1"/>
  <c r="D104" i="16" s="1"/>
  <c r="D105" i="16" s="1"/>
  <c r="D106" i="16" s="1"/>
  <c r="D107" i="16" s="1"/>
  <c r="D108" i="16" s="1"/>
  <c r="D109" i="16" s="1"/>
  <c r="D110" i="16" s="1"/>
  <c r="D111" i="16" s="1"/>
  <c r="D112" i="16" s="1"/>
  <c r="D113" i="16" s="1"/>
  <c r="D114" i="16" s="1"/>
  <c r="D115" i="16" s="1"/>
  <c r="D116" i="16" s="1"/>
  <c r="D117" i="16" s="1"/>
  <c r="D118" i="16" s="1"/>
  <c r="D119" i="16" s="1"/>
  <c r="P90" i="16"/>
  <c r="P91" i="16" s="1"/>
  <c r="P92" i="16" s="1"/>
  <c r="P93" i="16" s="1"/>
  <c r="P94" i="16" s="1"/>
  <c r="P95" i="16" s="1"/>
  <c r="P96" i="16" s="1"/>
  <c r="P97" i="16" s="1"/>
  <c r="P98" i="16" s="1"/>
  <c r="P99" i="16" s="1"/>
  <c r="P100" i="16" s="1"/>
  <c r="P101" i="16" s="1"/>
  <c r="P102" i="16" s="1"/>
  <c r="P103" i="16" s="1"/>
  <c r="P104" i="16" s="1"/>
  <c r="P105" i="16" s="1"/>
  <c r="P106" i="16" s="1"/>
  <c r="P107" i="16" s="1"/>
  <c r="P108" i="16" s="1"/>
  <c r="P109" i="16" s="1"/>
  <c r="P110" i="16" s="1"/>
  <c r="P111" i="16" s="1"/>
  <c r="P112" i="16" s="1"/>
  <c r="P113" i="16" s="1"/>
  <c r="P114" i="16" s="1"/>
  <c r="P115" i="16" s="1"/>
  <c r="P116" i="16" s="1"/>
  <c r="P117" i="16" s="1"/>
  <c r="P118" i="16" s="1"/>
  <c r="P119" i="16" s="1"/>
  <c r="P50" i="16"/>
  <c r="P51" i="16" s="1"/>
  <c r="P52" i="16" s="1"/>
  <c r="P53" i="16" s="1"/>
  <c r="P54" i="16" s="1"/>
  <c r="P55" i="16"/>
  <c r="P56" i="16" s="1"/>
  <c r="P57" i="16" s="1"/>
  <c r="P58" i="16" s="1"/>
  <c r="P59" i="16" s="1"/>
  <c r="P60" i="16" s="1"/>
  <c r="P61" i="16" s="1"/>
  <c r="P62" i="16" s="1"/>
  <c r="P63" i="16" s="1"/>
  <c r="P64" i="16" s="1"/>
  <c r="P65" i="16" s="1"/>
  <c r="P66" i="16" s="1"/>
  <c r="P67" i="16" s="1"/>
  <c r="P68" i="16" s="1"/>
  <c r="P69" i="16" s="1"/>
  <c r="P70" i="16" s="1"/>
  <c r="P71" i="16" s="1"/>
  <c r="P72" i="16" s="1"/>
  <c r="P73" i="16" s="1"/>
  <c r="P74" i="16" s="1"/>
  <c r="P75" i="16" s="1"/>
  <c r="P76" i="16" s="1"/>
  <c r="P77" i="16" s="1"/>
  <c r="P78" i="16" s="1"/>
  <c r="P79" i="16" s="1"/>
  <c r="D35" i="17"/>
  <c r="C43" i="25"/>
  <c r="D18" i="12"/>
  <c r="D31" i="12"/>
  <c r="D15" i="25"/>
  <c r="W15" i="25" s="1"/>
  <c r="H19" i="12"/>
  <c r="H32" i="12" s="1"/>
  <c r="H18" i="12"/>
  <c r="H31" i="12"/>
  <c r="D20" i="12"/>
  <c r="D33" i="12" s="1"/>
  <c r="C43" i="27"/>
  <c r="C43" i="24"/>
  <c r="F18" i="12"/>
  <c r="H20" i="12"/>
  <c r="H33" i="12"/>
  <c r="M19" i="12"/>
  <c r="M32" i="12" s="1"/>
  <c r="N12" i="24"/>
  <c r="P10" i="29"/>
  <c r="Y15" i="22"/>
  <c r="S11" i="21"/>
  <c r="N12" i="21"/>
  <c r="P10" i="21"/>
  <c r="S11" i="19"/>
  <c r="P10" i="19"/>
  <c r="N12" i="23"/>
  <c r="P10" i="23"/>
  <c r="N12" i="26"/>
  <c r="S11" i="26"/>
  <c r="P10" i="26"/>
  <c r="N12" i="20"/>
  <c r="P10" i="20"/>
  <c r="S11" i="20"/>
  <c r="N12" i="22"/>
  <c r="J18" i="12"/>
  <c r="X15" i="25"/>
  <c r="Y15" i="25" s="1"/>
  <c r="J19" i="12"/>
  <c r="R33" i="12" l="1"/>
  <c r="R32" i="12"/>
  <c r="R25" i="12"/>
  <c r="R31" i="12"/>
  <c r="F32" i="12"/>
  <c r="J11" i="12"/>
  <c r="M27" i="12"/>
  <c r="F29" i="12"/>
  <c r="R29" i="12" s="1"/>
  <c r="F30" i="12"/>
  <c r="R30" i="12" s="1"/>
  <c r="F33" i="12"/>
  <c r="F31" i="12"/>
  <c r="H28" i="12"/>
  <c r="R28" i="12" s="1"/>
  <c r="F27" i="12"/>
  <c r="R27" i="12" s="1"/>
  <c r="F26" i="12"/>
  <c r="R26" i="12" s="1"/>
  <c r="Z15" i="26"/>
  <c r="BC32" i="12" s="1"/>
  <c r="Z15" i="19"/>
  <c r="BC25" i="12" s="1"/>
  <c r="Z15" i="20"/>
  <c r="BC26" i="12" s="1"/>
  <c r="Z15" i="23"/>
  <c r="BC29" i="12" s="1"/>
  <c r="Z15" i="22"/>
  <c r="BC28" i="12" s="1"/>
  <c r="Z15" i="25"/>
  <c r="BC31" i="12" s="1"/>
  <c r="Z15" i="21"/>
  <c r="BC27" i="12" s="1"/>
  <c r="X15" i="23"/>
  <c r="Y15" i="23" s="1"/>
  <c r="W15" i="23"/>
  <c r="W15" i="24"/>
  <c r="X15" i="24"/>
  <c r="Y15" i="24" s="1"/>
  <c r="Z15" i="24" s="1"/>
  <c r="BC30" i="12" s="1"/>
  <c r="X15" i="27"/>
  <c r="Y15" i="27" s="1"/>
  <c r="Z15" i="27" s="1"/>
  <c r="BC33" i="12" s="1"/>
  <c r="W15" i="27"/>
  <c r="S11" i="29"/>
  <c r="C9" i="17"/>
  <c r="K34" i="17"/>
  <c r="Y34" i="17" s="1"/>
  <c r="W34" i="17" s="1"/>
  <c r="L25" i="17"/>
  <c r="I36" i="17"/>
  <c r="B13" i="15"/>
  <c r="E17" i="17"/>
  <c r="S11" i="27"/>
  <c r="B32" i="15"/>
  <c r="N26" i="17"/>
  <c r="B30" i="15"/>
  <c r="D10" i="14"/>
  <c r="D36" i="14"/>
  <c r="D27" i="14"/>
  <c r="O10" i="17"/>
  <c r="R11" i="17"/>
  <c r="N14" i="17"/>
  <c r="Q15" i="17"/>
  <c r="N21" i="17"/>
  <c r="Q22" i="17"/>
  <c r="E10" i="17"/>
  <c r="D11" i="17"/>
  <c r="C13" i="17"/>
  <c r="F16" i="17"/>
  <c r="F19" i="17"/>
  <c r="F24" i="17"/>
  <c r="E27" i="17"/>
  <c r="W15" i="21"/>
  <c r="A16" i="26"/>
  <c r="G16" i="26" s="1"/>
  <c r="A16" i="23"/>
  <c r="I11" i="17"/>
  <c r="N12" i="27"/>
  <c r="D15" i="14"/>
  <c r="D17" i="14"/>
  <c r="D32" i="14"/>
  <c r="D22" i="14"/>
  <c r="R13" i="17"/>
  <c r="O26" i="17"/>
  <c r="W38" i="17"/>
  <c r="P10" i="24"/>
  <c r="W15" i="26"/>
  <c r="B17" i="15"/>
  <c r="B31" i="15"/>
  <c r="N12" i="25"/>
  <c r="B24" i="15"/>
  <c r="K19" i="18"/>
  <c r="C26" i="18"/>
  <c r="H14" i="18"/>
  <c r="J37" i="18"/>
  <c r="H24" i="18"/>
  <c r="C13" i="18"/>
  <c r="B26" i="15"/>
  <c r="D14" i="14"/>
  <c r="B10" i="14"/>
  <c r="D31" i="14"/>
  <c r="D26" i="14"/>
  <c r="D21" i="14"/>
  <c r="B31" i="18"/>
  <c r="E17" i="18"/>
  <c r="J26" i="17"/>
  <c r="L36" i="17"/>
  <c r="Q29" i="17"/>
  <c r="P35" i="17"/>
  <c r="P37" i="17"/>
  <c r="C18" i="17"/>
  <c r="C33" i="17"/>
  <c r="H37" i="17"/>
  <c r="V37" i="17" s="1"/>
  <c r="K36" i="17"/>
  <c r="Y36" i="17" s="1"/>
  <c r="E15" i="17"/>
  <c r="C28" i="17"/>
  <c r="P10" i="22"/>
  <c r="B36" i="15"/>
  <c r="K37" i="17"/>
  <c r="Y37" i="17" s="1"/>
  <c r="W37" i="17" s="1"/>
  <c r="B37" i="15"/>
  <c r="N3" i="24"/>
  <c r="B18" i="15"/>
  <c r="D7" i="14"/>
  <c r="D34" i="14"/>
  <c r="L29" i="17"/>
  <c r="R9" i="17"/>
  <c r="R34" i="17"/>
  <c r="E22" i="17"/>
  <c r="E24" i="17"/>
  <c r="D37" i="17"/>
  <c r="S11" i="25"/>
  <c r="L21" i="17"/>
  <c r="D20" i="17"/>
  <c r="C37" i="17"/>
  <c r="B29" i="15"/>
  <c r="B23" i="15"/>
  <c r="B27" i="15"/>
  <c r="A16" i="22"/>
  <c r="T16" i="22" s="1"/>
  <c r="U16" i="22" s="1"/>
  <c r="D16" i="14"/>
  <c r="D8" i="14"/>
  <c r="D29" i="14"/>
  <c r="D24" i="14"/>
  <c r="I9" i="17"/>
  <c r="Q37" i="17"/>
  <c r="H21" i="17"/>
  <c r="V21" i="17" s="1"/>
  <c r="W16" i="17"/>
  <c r="K13" i="17"/>
  <c r="Y13" i="17" s="1"/>
  <c r="W13" i="17" s="1"/>
  <c r="C14" i="17"/>
  <c r="C21" i="17"/>
  <c r="I20" i="17"/>
  <c r="I25" i="17"/>
  <c r="O19" i="17"/>
  <c r="C24" i="17"/>
  <c r="W14" i="17"/>
  <c r="L17" i="17"/>
  <c r="R12" i="17"/>
  <c r="N16" i="17"/>
  <c r="R17" i="17"/>
  <c r="P19" i="17"/>
  <c r="Q32" i="17"/>
  <c r="D10" i="17"/>
  <c r="C12" i="17"/>
  <c r="D18" i="17"/>
  <c r="F36" i="17"/>
  <c r="H35" i="17"/>
  <c r="V35" i="17" s="1"/>
  <c r="H19" i="17"/>
  <c r="V19" i="17" s="1"/>
  <c r="O33" i="17"/>
  <c r="K30" i="17"/>
  <c r="Y30" i="17" s="1"/>
  <c r="D17" i="17"/>
  <c r="L24" i="17"/>
  <c r="P24" i="17"/>
  <c r="N37" i="17"/>
  <c r="J16" i="17"/>
  <c r="I19" i="17"/>
  <c r="I23" i="17"/>
  <c r="J34" i="17"/>
  <c r="Q10" i="17"/>
  <c r="O15" i="17"/>
  <c r="P27" i="17"/>
  <c r="R28" i="17"/>
  <c r="P30" i="17"/>
  <c r="R31" i="17"/>
  <c r="P36" i="17"/>
  <c r="E18" i="17"/>
  <c r="D29" i="17"/>
  <c r="F30" i="17"/>
  <c r="E32" i="17"/>
  <c r="D34" i="17"/>
  <c r="C36" i="17"/>
  <c r="F37" i="17"/>
  <c r="W17" i="17"/>
  <c r="H13" i="17"/>
  <c r="V13" i="17" s="1"/>
  <c r="K32" i="17"/>
  <c r="Y32" i="17" s="1"/>
  <c r="W32" i="17" s="1"/>
  <c r="N15" i="17"/>
  <c r="O9" i="17"/>
  <c r="W15" i="17"/>
  <c r="I26" i="17"/>
  <c r="P15" i="17"/>
  <c r="P18" i="17"/>
  <c r="N23" i="17"/>
  <c r="E29" i="17"/>
  <c r="F32" i="17"/>
  <c r="E33" i="17"/>
  <c r="H28" i="17"/>
  <c r="V28" i="17" s="1"/>
  <c r="J37" i="17"/>
  <c r="J14" i="17"/>
  <c r="I17" i="17"/>
  <c r="L23" i="17"/>
  <c r="I34" i="17"/>
  <c r="N11" i="17"/>
  <c r="Q21" i="17"/>
  <c r="O23" i="17"/>
  <c r="O29" i="17"/>
  <c r="E9" i="17"/>
  <c r="D12" i="17"/>
  <c r="F27" i="17"/>
  <c r="F28" i="17"/>
  <c r="D31" i="17"/>
  <c r="K35" i="17"/>
  <c r="Y35" i="17" s="1"/>
  <c r="W35" i="17" s="1"/>
  <c r="T16" i="24"/>
  <c r="U16" i="24" s="1"/>
  <c r="N3" i="26"/>
  <c r="H30" i="17"/>
  <c r="V30" i="17" s="1"/>
  <c r="H31" i="17"/>
  <c r="V31" i="17" s="1"/>
  <c r="I24" i="17"/>
  <c r="H36" i="17"/>
  <c r="V36" i="17" s="1"/>
  <c r="L32" i="17"/>
  <c r="O21" i="17"/>
  <c r="Q31" i="17"/>
  <c r="W36" i="17"/>
  <c r="Q13" i="17"/>
  <c r="I27" i="17"/>
  <c r="AA10" i="17"/>
  <c r="AA11" i="17" s="1"/>
  <c r="O37" i="17"/>
  <c r="O36" i="17"/>
  <c r="J9" i="17"/>
  <c r="J10" i="17"/>
  <c r="L11" i="17"/>
  <c r="L12" i="17"/>
  <c r="J15" i="17"/>
  <c r="J25" i="17"/>
  <c r="Q12" i="17"/>
  <c r="Q24" i="17"/>
  <c r="Q23" i="17"/>
  <c r="N29" i="17"/>
  <c r="N32" i="17"/>
  <c r="H26" i="17"/>
  <c r="V26" i="17" s="1"/>
  <c r="Q11" i="17"/>
  <c r="R15" i="17"/>
  <c r="R14" i="17"/>
  <c r="D15" i="17"/>
  <c r="D14" i="17"/>
  <c r="C17" i="17"/>
  <c r="C16" i="17"/>
  <c r="D21" i="17"/>
  <c r="D22" i="17"/>
  <c r="D24" i="17"/>
  <c r="D23" i="17"/>
  <c r="D36" i="17"/>
  <c r="J28" i="17"/>
  <c r="J29" i="17"/>
  <c r="J13" i="17"/>
  <c r="L28" i="17"/>
  <c r="L27" i="17"/>
  <c r="J35" i="17"/>
  <c r="J36" i="17"/>
  <c r="P34" i="17"/>
  <c r="R35" i="17"/>
  <c r="I35" i="17"/>
  <c r="E21" i="17"/>
  <c r="H10" i="17"/>
  <c r="V10" i="17" s="1"/>
  <c r="K18" i="17"/>
  <c r="Y18" i="17" s="1"/>
  <c r="W18" i="17" s="1"/>
  <c r="H12" i="17"/>
  <c r="V12" i="17" s="1"/>
  <c r="N13" i="17"/>
  <c r="L14" i="17"/>
  <c r="I22" i="17"/>
  <c r="I29" i="17"/>
  <c r="I37" i="17"/>
  <c r="O25" i="17"/>
  <c r="O30" i="17"/>
  <c r="Q34" i="17"/>
  <c r="D19" i="17"/>
  <c r="C23" i="17"/>
  <c r="C34" i="17"/>
  <c r="K19" i="17"/>
  <c r="Y19" i="17" s="1"/>
  <c r="W19" i="17" s="1"/>
  <c r="N24" i="17"/>
  <c r="E37" i="17"/>
  <c r="F25" i="17"/>
  <c r="L31" i="17"/>
  <c r="P10" i="17"/>
  <c r="N19" i="17"/>
  <c r="F14" i="17"/>
  <c r="C32" i="17"/>
  <c r="F34" i="17"/>
  <c r="W30" i="17"/>
  <c r="K23" i="17"/>
  <c r="Y23" i="17" s="1"/>
  <c r="W23" i="17" s="1"/>
  <c r="K22" i="17"/>
  <c r="Y22" i="17" s="1"/>
  <c r="W22" i="17" s="1"/>
  <c r="L20" i="17"/>
  <c r="N28" i="17"/>
  <c r="R30" i="17"/>
  <c r="P33" i="17"/>
  <c r="N35" i="17"/>
  <c r="F26" i="17"/>
  <c r="K20" i="17"/>
  <c r="Y20" i="17" s="1"/>
  <c r="W20" i="17" s="1"/>
  <c r="Q14" i="17"/>
  <c r="R20" i="17"/>
  <c r="Q33" i="17"/>
  <c r="C11" i="17"/>
  <c r="E12" i="17"/>
  <c r="D13" i="17"/>
  <c r="D25" i="17"/>
  <c r="K33" i="17"/>
  <c r="Y33" i="17" s="1"/>
  <c r="W33" i="17" s="1"/>
  <c r="H25" i="17"/>
  <c r="V25" i="17" s="1"/>
  <c r="H23" i="17"/>
  <c r="V23" i="17" s="1"/>
  <c r="H22" i="17"/>
  <c r="V22" i="17" s="1"/>
  <c r="I18" i="17"/>
  <c r="J30" i="17"/>
  <c r="N9" i="17"/>
  <c r="O24" i="17"/>
  <c r="F31" i="17"/>
  <c r="C27" i="17"/>
  <c r="R10" i="17"/>
  <c r="L35" i="17"/>
  <c r="L37" i="17"/>
  <c r="P13" i="17"/>
  <c r="R25" i="17"/>
  <c r="P32" i="17"/>
  <c r="D9" i="17"/>
  <c r="E13" i="17"/>
  <c r="E25" i="17"/>
  <c r="C29" i="17"/>
  <c r="K31" i="17"/>
  <c r="Y31" i="17" s="1"/>
  <c r="W31" i="17" s="1"/>
  <c r="AB9" i="17"/>
  <c r="J11" i="17"/>
  <c r="J12" i="17"/>
  <c r="J21" i="17"/>
  <c r="J22" i="17"/>
  <c r="Q16" i="17"/>
  <c r="Q17" i="17"/>
  <c r="K10" i="17"/>
  <c r="Y10" i="17" s="1"/>
  <c r="W10" i="17" s="1"/>
  <c r="K11" i="17"/>
  <c r="Y11" i="17" s="1"/>
  <c r="W11" i="17" s="1"/>
  <c r="L19" i="17"/>
  <c r="L18" i="17"/>
  <c r="I14" i="17"/>
  <c r="I15" i="17"/>
  <c r="I32" i="17"/>
  <c r="I31" i="17"/>
  <c r="K28" i="17"/>
  <c r="Y28" i="17" s="1"/>
  <c r="W28" i="17" s="1"/>
  <c r="K27" i="17"/>
  <c r="Y27" i="17" s="1"/>
  <c r="W27" i="17" s="1"/>
  <c r="K25" i="17"/>
  <c r="Y25" i="17" s="1"/>
  <c r="W25" i="17" s="1"/>
  <c r="K26" i="17"/>
  <c r="Y26" i="17" s="1"/>
  <c r="W26" i="17" s="1"/>
  <c r="K24" i="17"/>
  <c r="Y24" i="17" s="1"/>
  <c r="W24" i="17" s="1"/>
  <c r="O28" i="17"/>
  <c r="O27" i="17"/>
  <c r="R19" i="17"/>
  <c r="P17" i="17"/>
  <c r="P28" i="17"/>
  <c r="P29" i="17"/>
  <c r="F9" i="17"/>
  <c r="F10" i="17"/>
  <c r="L10" i="17"/>
  <c r="L9" i="17"/>
  <c r="H32" i="17"/>
  <c r="V32" i="17" s="1"/>
  <c r="H33" i="17"/>
  <c r="V33" i="17" s="1"/>
  <c r="J20" i="17"/>
  <c r="J19" i="17"/>
  <c r="P16" i="17"/>
  <c r="F29" i="17"/>
  <c r="F12" i="17"/>
  <c r="F13" i="17"/>
  <c r="F15" i="17"/>
  <c r="O14" i="17"/>
  <c r="O13" i="17"/>
  <c r="N34" i="17"/>
  <c r="E34" i="17"/>
  <c r="P14" i="17"/>
  <c r="F21" i="17"/>
  <c r="F20" i="17"/>
  <c r="F23" i="17"/>
  <c r="F22" i="17"/>
  <c r="P9" i="17"/>
  <c r="R27" i="17"/>
  <c r="F18" i="17"/>
  <c r="F17" i="17"/>
  <c r="P21" i="17"/>
  <c r="P20" i="17"/>
  <c r="R23" i="17"/>
  <c r="O35" i="17"/>
  <c r="J17" i="17"/>
  <c r="J18" i="17"/>
  <c r="I21" i="17"/>
  <c r="E28" i="17"/>
  <c r="E36" i="17"/>
  <c r="K21" i="17"/>
  <c r="Y21" i="17" s="1"/>
  <c r="W21" i="17" s="1"/>
  <c r="L16" i="17"/>
  <c r="L15" i="17"/>
  <c r="Q19" i="17"/>
  <c r="R36" i="17"/>
  <c r="I16" i="22"/>
  <c r="J16" i="22" s="1"/>
  <c r="G16" i="22"/>
  <c r="A16" i="20"/>
  <c r="G16" i="20" s="1"/>
  <c r="A16" i="25"/>
  <c r="A16" i="29"/>
  <c r="T16" i="29" s="1"/>
  <c r="O16" i="22"/>
  <c r="P16" i="22" s="1"/>
  <c r="T16" i="26"/>
  <c r="U16" i="26" s="1"/>
  <c r="Q15" i="23"/>
  <c r="O16" i="23"/>
  <c r="P16" i="23" s="1"/>
  <c r="K15" i="23"/>
  <c r="T16" i="23"/>
  <c r="V16" i="23"/>
  <c r="I16" i="23"/>
  <c r="J16" i="23" s="1"/>
  <c r="G16" i="23"/>
  <c r="A17" i="23"/>
  <c r="A18" i="23" s="1"/>
  <c r="K15" i="24"/>
  <c r="A17" i="24"/>
  <c r="V16" i="24"/>
  <c r="I16" i="24"/>
  <c r="J16" i="24" s="1"/>
  <c r="G16" i="24"/>
  <c r="Q15" i="24"/>
  <c r="O16" i="24"/>
  <c r="P16" i="24" s="1"/>
  <c r="Q15" i="19"/>
  <c r="K15" i="19"/>
  <c r="I16" i="19"/>
  <c r="J16" i="19" s="1"/>
  <c r="G16" i="19"/>
  <c r="T16" i="19"/>
  <c r="O16" i="19"/>
  <c r="P16" i="19" s="1"/>
  <c r="N3" i="27"/>
  <c r="A16" i="27"/>
  <c r="A16" i="21"/>
  <c r="A17" i="21"/>
  <c r="A18" i="21" s="1"/>
  <c r="N3" i="21"/>
  <c r="N3" i="23"/>
  <c r="R8" i="1"/>
  <c r="S8" i="1" s="1"/>
  <c r="H16" i="23" s="1"/>
  <c r="A17" i="19"/>
  <c r="U14" i="17"/>
  <c r="Z26" i="12"/>
  <c r="Z32" i="12"/>
  <c r="Z31" i="12"/>
  <c r="Z33" i="12"/>
  <c r="Z27" i="12"/>
  <c r="Z30" i="12"/>
  <c r="Z25" i="12"/>
  <c r="Z28" i="12"/>
  <c r="Z29" i="12"/>
  <c r="AK32" i="12" l="1"/>
  <c r="AE32" i="12"/>
  <c r="AN32" i="12"/>
  <c r="AC32" i="12"/>
  <c r="AJ32" i="12"/>
  <c r="AD32" i="12"/>
  <c r="AA32" i="12"/>
  <c r="AF32" i="12"/>
  <c r="AB32" i="12"/>
  <c r="AI32" i="12"/>
  <c r="AG32" i="12"/>
  <c r="AM32" i="12"/>
  <c r="AL32" i="12"/>
  <c r="AH32" i="12"/>
  <c r="AD26" i="12"/>
  <c r="AL26" i="12"/>
  <c r="AH26" i="12"/>
  <c r="AN26" i="12"/>
  <c r="AA26" i="12"/>
  <c r="AM26" i="12"/>
  <c r="AE26" i="12"/>
  <c r="AB26" i="12"/>
  <c r="AI26" i="12"/>
  <c r="AJ26" i="12"/>
  <c r="AK26" i="12"/>
  <c r="AG26" i="12"/>
  <c r="AF26" i="12"/>
  <c r="AC26" i="12"/>
  <c r="AD29" i="12"/>
  <c r="AB29" i="12"/>
  <c r="AE29" i="12"/>
  <c r="AA29" i="12"/>
  <c r="AJ29" i="12"/>
  <c r="AI29" i="12"/>
  <c r="AF29" i="12"/>
  <c r="AL29" i="12"/>
  <c r="AH29" i="12"/>
  <c r="AN29" i="12"/>
  <c r="AC29" i="12"/>
  <c r="AK29" i="12"/>
  <c r="AM29" i="12"/>
  <c r="AG29" i="12"/>
  <c r="AJ25" i="12"/>
  <c r="AA25" i="12"/>
  <c r="AC25" i="12"/>
  <c r="AE25" i="12"/>
  <c r="AH28" i="12"/>
  <c r="AG28" i="12"/>
  <c r="AN28" i="12"/>
  <c r="AD28" i="12"/>
  <c r="AA28" i="12"/>
  <c r="AK28" i="12"/>
  <c r="AI28" i="12"/>
  <c r="AC28" i="12"/>
  <c r="AL28" i="12"/>
  <c r="AE28" i="12"/>
  <c r="AM28" i="12"/>
  <c r="AB28" i="12"/>
  <c r="AJ28" i="12"/>
  <c r="AF28" i="12"/>
  <c r="AH31" i="12"/>
  <c r="AC31" i="12"/>
  <c r="AL31" i="12"/>
  <c r="AE31" i="12"/>
  <c r="AG31" i="12"/>
  <c r="AD31" i="12"/>
  <c r="AM31" i="12"/>
  <c r="AI31" i="12"/>
  <c r="AF31" i="12"/>
  <c r="AN31" i="12"/>
  <c r="AB31" i="12"/>
  <c r="AJ31" i="12"/>
  <c r="AK31" i="12"/>
  <c r="AA31" i="12"/>
  <c r="AF27" i="12"/>
  <c r="AI27" i="12"/>
  <c r="AM27" i="12"/>
  <c r="AA27" i="12"/>
  <c r="AC27" i="12"/>
  <c r="AK27" i="12"/>
  <c r="AB27" i="12"/>
  <c r="AH27" i="12"/>
  <c r="AJ27" i="12"/>
  <c r="AD27" i="12"/>
  <c r="AL27" i="12"/>
  <c r="AE27" i="12"/>
  <c r="AG27" i="12"/>
  <c r="AN27" i="12"/>
  <c r="AN30" i="12"/>
  <c r="AJ30" i="12"/>
  <c r="AG30" i="12"/>
  <c r="AE30" i="12"/>
  <c r="AI30" i="12"/>
  <c r="AL30" i="12"/>
  <c r="AD30" i="12"/>
  <c r="AH30" i="12"/>
  <c r="AF30" i="12"/>
  <c r="AM30" i="12"/>
  <c r="AC30" i="12"/>
  <c r="AB30" i="12"/>
  <c r="AA30" i="12"/>
  <c r="AK30" i="12"/>
  <c r="AJ33" i="12"/>
  <c r="AB33" i="12"/>
  <c r="AC33" i="12"/>
  <c r="AE33" i="12"/>
  <c r="AG33" i="12"/>
  <c r="AK33" i="12"/>
  <c r="AD33" i="12"/>
  <c r="AL33" i="12"/>
  <c r="AA33" i="12"/>
  <c r="AN33" i="12"/>
  <c r="AM33" i="12"/>
  <c r="AF33" i="12"/>
  <c r="AI33" i="12"/>
  <c r="AH33" i="12"/>
  <c r="J27" i="12"/>
  <c r="J33" i="12"/>
  <c r="J28" i="12"/>
  <c r="J29" i="12"/>
  <c r="J32" i="12"/>
  <c r="J31" i="12"/>
  <c r="J25" i="12"/>
  <c r="AG25" i="12" s="1"/>
  <c r="J26" i="12"/>
  <c r="J30" i="12"/>
  <c r="V16" i="22"/>
  <c r="O16" i="26"/>
  <c r="P16" i="26" s="1"/>
  <c r="A17" i="22"/>
  <c r="A17" i="26"/>
  <c r="G17" i="26" s="1"/>
  <c r="K15" i="26"/>
  <c r="A17" i="20"/>
  <c r="Q15" i="22"/>
  <c r="Q15" i="26"/>
  <c r="I16" i="26"/>
  <c r="J16" i="26" s="1"/>
  <c r="V16" i="26"/>
  <c r="K15" i="22"/>
  <c r="Q15" i="29"/>
  <c r="A17" i="29"/>
  <c r="V17" i="29" s="1"/>
  <c r="H16" i="24"/>
  <c r="L16" i="24" s="1"/>
  <c r="A18" i="22"/>
  <c r="AA12" i="17"/>
  <c r="AA13" i="17" s="1"/>
  <c r="AA14" i="17" s="1"/>
  <c r="AA15" i="17" s="1"/>
  <c r="AA16" i="17" s="1"/>
  <c r="AA17" i="17" s="1"/>
  <c r="AA18" i="17" s="1"/>
  <c r="AA19" i="17" s="1"/>
  <c r="AA20" i="17" s="1"/>
  <c r="AA21" i="17" s="1"/>
  <c r="AA22" i="17" s="1"/>
  <c r="AA23" i="17" s="1"/>
  <c r="AA24" i="17" s="1"/>
  <c r="AA25" i="17" s="1"/>
  <c r="AA26" i="17" s="1"/>
  <c r="AA27" i="17" s="1"/>
  <c r="AA28" i="17" s="1"/>
  <c r="AA29" i="17" s="1"/>
  <c r="AA30" i="17" s="1"/>
  <c r="AA31" i="17" s="1"/>
  <c r="AA32" i="17" s="1"/>
  <c r="AA33" i="17" s="1"/>
  <c r="AA34" i="17" s="1"/>
  <c r="AA35" i="17" s="1"/>
  <c r="AA36" i="17" s="1"/>
  <c r="AA37" i="17" s="1"/>
  <c r="AA38" i="17" s="1"/>
  <c r="AB10" i="17"/>
  <c r="AB11" i="17" s="1"/>
  <c r="AB12" i="17" s="1"/>
  <c r="AB13" i="17" s="1"/>
  <c r="AB14" i="17" s="1"/>
  <c r="AB15" i="17" s="1"/>
  <c r="AB16" i="17" s="1"/>
  <c r="AB17" i="17" s="1"/>
  <c r="AB18" i="17" s="1"/>
  <c r="AB19" i="17" s="1"/>
  <c r="AB20" i="17" s="1"/>
  <c r="AB21" i="17" s="1"/>
  <c r="AB22" i="17" s="1"/>
  <c r="AB23" i="17" s="1"/>
  <c r="AB24" i="17" s="1"/>
  <c r="AB25" i="17" s="1"/>
  <c r="AB26" i="17" s="1"/>
  <c r="AB27" i="17" s="1"/>
  <c r="AB28" i="17" s="1"/>
  <c r="AB29" i="17" s="1"/>
  <c r="AB30" i="17" s="1"/>
  <c r="AB31" i="17" s="1"/>
  <c r="AB32" i="17" s="1"/>
  <c r="AB33" i="17" s="1"/>
  <c r="AB34" i="17" s="1"/>
  <c r="AB35" i="17" s="1"/>
  <c r="AB36" i="17" s="1"/>
  <c r="AB37" i="17" s="1"/>
  <c r="AB38" i="17" s="1"/>
  <c r="O16" i="20"/>
  <c r="P16" i="20" s="1"/>
  <c r="I16" i="20"/>
  <c r="J16" i="20" s="1"/>
  <c r="N16" i="20"/>
  <c r="R16" i="20" s="1"/>
  <c r="Q15" i="20"/>
  <c r="V16" i="20"/>
  <c r="K15" i="20"/>
  <c r="K16" i="24"/>
  <c r="Z16" i="29"/>
  <c r="V16" i="29"/>
  <c r="K15" i="29"/>
  <c r="AA16" i="29"/>
  <c r="G16" i="29"/>
  <c r="I16" i="29"/>
  <c r="O16" i="29"/>
  <c r="P16" i="29" s="1"/>
  <c r="T16" i="20"/>
  <c r="U16" i="20" s="1"/>
  <c r="N16" i="23"/>
  <c r="V16" i="25"/>
  <c r="Q15" i="25"/>
  <c r="G16" i="25"/>
  <c r="K15" i="25"/>
  <c r="I16" i="25"/>
  <c r="J16" i="25" s="1"/>
  <c r="T16" i="25"/>
  <c r="U16" i="25" s="1"/>
  <c r="O16" i="25"/>
  <c r="P16" i="25" s="1"/>
  <c r="A17" i="25"/>
  <c r="G18" i="21"/>
  <c r="O18" i="21"/>
  <c r="P18" i="21" s="1"/>
  <c r="V18" i="21"/>
  <c r="I18" i="21"/>
  <c r="J18" i="21" s="1"/>
  <c r="T18" i="21"/>
  <c r="U18" i="21" s="1"/>
  <c r="A19" i="21"/>
  <c r="K16" i="23"/>
  <c r="L16" i="23"/>
  <c r="V18" i="23"/>
  <c r="I18" i="23"/>
  <c r="J18" i="23" s="1"/>
  <c r="O18" i="23"/>
  <c r="P18" i="23" s="1"/>
  <c r="G18" i="23"/>
  <c r="T18" i="23"/>
  <c r="U18" i="23" s="1"/>
  <c r="A19" i="23"/>
  <c r="U16" i="19"/>
  <c r="H16" i="20"/>
  <c r="G17" i="24"/>
  <c r="O17" i="24"/>
  <c r="P17" i="24" s="1"/>
  <c r="I17" i="24"/>
  <c r="J17" i="24" s="1"/>
  <c r="A18" i="24"/>
  <c r="V17" i="24"/>
  <c r="T17" i="24"/>
  <c r="U16" i="23"/>
  <c r="O17" i="20"/>
  <c r="P17" i="20" s="1"/>
  <c r="G17" i="20"/>
  <c r="A18" i="20"/>
  <c r="T17" i="20"/>
  <c r="U17" i="20" s="1"/>
  <c r="I17" i="20"/>
  <c r="J17" i="20" s="1"/>
  <c r="K15" i="27"/>
  <c r="V16" i="27"/>
  <c r="Q15" i="27"/>
  <c r="G16" i="27"/>
  <c r="I16" i="27"/>
  <c r="J16" i="27" s="1"/>
  <c r="N16" i="27"/>
  <c r="O16" i="27"/>
  <c r="P16" i="27" s="1"/>
  <c r="T16" i="27"/>
  <c r="H16" i="27"/>
  <c r="A18" i="26"/>
  <c r="I17" i="26"/>
  <c r="J17" i="26" s="1"/>
  <c r="T17" i="26"/>
  <c r="U16" i="29"/>
  <c r="V17" i="20"/>
  <c r="N16" i="26"/>
  <c r="H16" i="22"/>
  <c r="N16" i="25"/>
  <c r="H16" i="26"/>
  <c r="N16" i="29"/>
  <c r="H16" i="25"/>
  <c r="N16" i="22"/>
  <c r="H16" i="19"/>
  <c r="O17" i="21"/>
  <c r="P17" i="21" s="1"/>
  <c r="T17" i="21"/>
  <c r="U17" i="21" s="1"/>
  <c r="V17" i="21"/>
  <c r="I17" i="21"/>
  <c r="J17" i="21" s="1"/>
  <c r="G17" i="21"/>
  <c r="A17" i="27"/>
  <c r="I17" i="19"/>
  <c r="J17" i="19" s="1"/>
  <c r="T17" i="19"/>
  <c r="U17" i="19" s="1"/>
  <c r="V17" i="19"/>
  <c r="G17" i="19"/>
  <c r="O17" i="19"/>
  <c r="P17" i="19" s="1"/>
  <c r="A18" i="19"/>
  <c r="V17" i="23"/>
  <c r="T17" i="23"/>
  <c r="U17" i="23" s="1"/>
  <c r="I17" i="23"/>
  <c r="G17" i="23"/>
  <c r="O17" i="23"/>
  <c r="P17" i="23" s="1"/>
  <c r="H16" i="29"/>
  <c r="Q15" i="21"/>
  <c r="I16" i="21"/>
  <c r="J16" i="21" s="1"/>
  <c r="N16" i="21"/>
  <c r="H16" i="21"/>
  <c r="G16" i="21"/>
  <c r="T16" i="21"/>
  <c r="V16" i="21"/>
  <c r="O16" i="21"/>
  <c r="P16" i="21" s="1"/>
  <c r="K15" i="21"/>
  <c r="N16" i="19"/>
  <c r="N16" i="24"/>
  <c r="U15" i="17"/>
  <c r="AE36" i="12" l="1"/>
  <c r="AA36" i="12"/>
  <c r="AC36" i="12"/>
  <c r="AJ36" i="12"/>
  <c r="AG36" i="12"/>
  <c r="J16" i="29"/>
  <c r="K16" i="29"/>
  <c r="M16" i="29" s="1"/>
  <c r="G17" i="29"/>
  <c r="O17" i="29"/>
  <c r="P17" i="29" s="1"/>
  <c r="AA17" i="29"/>
  <c r="T17" i="29"/>
  <c r="U17" i="29" s="1"/>
  <c r="I17" i="22"/>
  <c r="J17" i="22" s="1"/>
  <c r="T17" i="22"/>
  <c r="U17" i="22" s="1"/>
  <c r="V17" i="22"/>
  <c r="G17" i="22"/>
  <c r="V17" i="26"/>
  <c r="K16" i="26"/>
  <c r="O17" i="26"/>
  <c r="P17" i="26" s="1"/>
  <c r="O17" i="22"/>
  <c r="P17" i="22" s="1"/>
  <c r="M16" i="24"/>
  <c r="I17" i="29"/>
  <c r="J17" i="29" s="1"/>
  <c r="Z17" i="29"/>
  <c r="R9" i="1"/>
  <c r="S9" i="1" s="1"/>
  <c r="A18" i="29"/>
  <c r="A19" i="22"/>
  <c r="T18" i="22"/>
  <c r="U18" i="22" s="1"/>
  <c r="I18" i="22"/>
  <c r="J18" i="22" s="1"/>
  <c r="V18" i="22"/>
  <c r="G18" i="22"/>
  <c r="O18" i="22"/>
  <c r="P18" i="22" s="1"/>
  <c r="Q16" i="20"/>
  <c r="S16" i="20" s="1"/>
  <c r="G17" i="25"/>
  <c r="O17" i="25"/>
  <c r="P17" i="25" s="1"/>
  <c r="V17" i="25"/>
  <c r="I17" i="25"/>
  <c r="J17" i="25" s="1"/>
  <c r="A18" i="25"/>
  <c r="T17" i="25"/>
  <c r="U17" i="25" s="1"/>
  <c r="Q16" i="23"/>
  <c r="S16" i="23" s="1"/>
  <c r="R16" i="23"/>
  <c r="R16" i="29"/>
  <c r="Q16" i="29"/>
  <c r="L16" i="20"/>
  <c r="K16" i="20"/>
  <c r="J17" i="23"/>
  <c r="O17" i="27"/>
  <c r="P17" i="27" s="1"/>
  <c r="I17" i="27"/>
  <c r="J17" i="27" s="1"/>
  <c r="A18" i="27"/>
  <c r="T17" i="27"/>
  <c r="U17" i="27" s="1"/>
  <c r="G17" i="27"/>
  <c r="V17" i="27"/>
  <c r="R16" i="26"/>
  <c r="Q16" i="26"/>
  <c r="I19" i="23"/>
  <c r="J19" i="23" s="1"/>
  <c r="G19" i="23"/>
  <c r="O19" i="23"/>
  <c r="P19" i="23" s="1"/>
  <c r="T19" i="23"/>
  <c r="U19" i="23" s="1"/>
  <c r="V19" i="23"/>
  <c r="A20" i="23"/>
  <c r="L16" i="19"/>
  <c r="K16" i="19"/>
  <c r="Q16" i="27"/>
  <c r="S16" i="27" s="1"/>
  <c r="T18" i="20"/>
  <c r="A19" i="20"/>
  <c r="G18" i="20"/>
  <c r="V18" i="20"/>
  <c r="I18" i="20"/>
  <c r="J18" i="20" s="1"/>
  <c r="O18" i="20"/>
  <c r="P18" i="20" s="1"/>
  <c r="L16" i="29"/>
  <c r="R16" i="22"/>
  <c r="Q16" i="22"/>
  <c r="S16" i="22" s="1"/>
  <c r="V18" i="26"/>
  <c r="T18" i="26"/>
  <c r="U18" i="26" s="1"/>
  <c r="O18" i="26"/>
  <c r="P18" i="26" s="1"/>
  <c r="I18" i="26"/>
  <c r="J18" i="26" s="1"/>
  <c r="G18" i="26"/>
  <c r="A19" i="26"/>
  <c r="L16" i="27"/>
  <c r="R16" i="24"/>
  <c r="L16" i="25"/>
  <c r="K16" i="25"/>
  <c r="K16" i="27"/>
  <c r="M16" i="27" s="1"/>
  <c r="U17" i="24"/>
  <c r="L16" i="26"/>
  <c r="M16" i="26"/>
  <c r="T18" i="24"/>
  <c r="U18" i="24" s="1"/>
  <c r="I18" i="24"/>
  <c r="J18" i="24" s="1"/>
  <c r="V18" i="24"/>
  <c r="O18" i="24"/>
  <c r="P18" i="24" s="1"/>
  <c r="A19" i="24"/>
  <c r="G18" i="24"/>
  <c r="R16" i="19"/>
  <c r="Q16" i="19"/>
  <c r="L16" i="21"/>
  <c r="R16" i="25"/>
  <c r="Q16" i="25"/>
  <c r="Q16" i="24"/>
  <c r="R16" i="27"/>
  <c r="M16" i="23"/>
  <c r="U16" i="21"/>
  <c r="U16" i="27"/>
  <c r="O18" i="19"/>
  <c r="P18" i="19" s="1"/>
  <c r="I18" i="19"/>
  <c r="J18" i="19" s="1"/>
  <c r="T18" i="19"/>
  <c r="U18" i="19" s="1"/>
  <c r="G18" i="19"/>
  <c r="V18" i="19"/>
  <c r="A19" i="19"/>
  <c r="K16" i="21"/>
  <c r="M16" i="21" s="1"/>
  <c r="R16" i="21"/>
  <c r="Q16" i="21"/>
  <c r="S16" i="21" s="1"/>
  <c r="L16" i="22"/>
  <c r="K16" i="22"/>
  <c r="U17" i="26"/>
  <c r="I19" i="21"/>
  <c r="J19" i="21" s="1"/>
  <c r="G19" i="21"/>
  <c r="T19" i="21"/>
  <c r="U19" i="21" s="1"/>
  <c r="V19" i="21"/>
  <c r="O19" i="21"/>
  <c r="P19" i="21" s="1"/>
  <c r="A20" i="21"/>
  <c r="U16" i="17"/>
  <c r="W16" i="23" l="1"/>
  <c r="N17" i="29"/>
  <c r="R17" i="29" s="1"/>
  <c r="H17" i="21"/>
  <c r="L17" i="21" s="1"/>
  <c r="N17" i="22"/>
  <c r="R17" i="22" s="1"/>
  <c r="H17" i="19"/>
  <c r="L17" i="19" s="1"/>
  <c r="N17" i="24"/>
  <c r="R17" i="24" s="1"/>
  <c r="N17" i="21"/>
  <c r="R17" i="21" s="1"/>
  <c r="H17" i="23"/>
  <c r="N17" i="20"/>
  <c r="R17" i="20" s="1"/>
  <c r="H17" i="26"/>
  <c r="H17" i="29"/>
  <c r="L17" i="29" s="1"/>
  <c r="N17" i="23"/>
  <c r="H17" i="22"/>
  <c r="L17" i="22" s="1"/>
  <c r="H17" i="24"/>
  <c r="H17" i="20"/>
  <c r="L17" i="20" s="1"/>
  <c r="N17" i="26"/>
  <c r="R17" i="26" s="1"/>
  <c r="N17" i="19"/>
  <c r="R17" i="19" s="1"/>
  <c r="N17" i="27"/>
  <c r="Q17" i="27" s="1"/>
  <c r="S17" i="27" s="1"/>
  <c r="H17" i="27"/>
  <c r="K17" i="27" s="1"/>
  <c r="M17" i="27" s="1"/>
  <c r="H17" i="25"/>
  <c r="L17" i="25" s="1"/>
  <c r="AC16" i="23"/>
  <c r="T18" i="29"/>
  <c r="U18" i="29" s="1"/>
  <c r="I18" i="29"/>
  <c r="J18" i="29" s="1"/>
  <c r="V18" i="29"/>
  <c r="AA18" i="29"/>
  <c r="O18" i="29"/>
  <c r="P18" i="29" s="1"/>
  <c r="G18" i="29"/>
  <c r="R10" i="1"/>
  <c r="S10" i="1" s="1"/>
  <c r="N18" i="27" s="1"/>
  <c r="Z18" i="29"/>
  <c r="A19" i="29"/>
  <c r="Q17" i="21"/>
  <c r="S17" i="21" s="1"/>
  <c r="N17" i="25"/>
  <c r="R17" i="25" s="1"/>
  <c r="Q17" i="20"/>
  <c r="S17" i="20" s="1"/>
  <c r="G19" i="22"/>
  <c r="V19" i="22"/>
  <c r="T19" i="22"/>
  <c r="U19" i="22" s="1"/>
  <c r="A20" i="22"/>
  <c r="O19" i="22"/>
  <c r="P19" i="22" s="1"/>
  <c r="I19" i="22"/>
  <c r="J19" i="22" s="1"/>
  <c r="X16" i="21"/>
  <c r="Y16" i="21" s="1"/>
  <c r="X16" i="27"/>
  <c r="Y16" i="27" s="1"/>
  <c r="W16" i="26"/>
  <c r="AC16" i="26"/>
  <c r="S16" i="24"/>
  <c r="X16" i="24" s="1"/>
  <c r="Y16" i="24" s="1"/>
  <c r="V18" i="25"/>
  <c r="G18" i="25"/>
  <c r="I18" i="25"/>
  <c r="J18" i="25" s="1"/>
  <c r="O18" i="25"/>
  <c r="P18" i="25" s="1"/>
  <c r="A19" i="25"/>
  <c r="T18" i="25"/>
  <c r="U18" i="25" s="1"/>
  <c r="W16" i="24"/>
  <c r="X16" i="23"/>
  <c r="Y16" i="23" s="1"/>
  <c r="AC16" i="24"/>
  <c r="W16" i="25"/>
  <c r="AC16" i="25"/>
  <c r="W16" i="20"/>
  <c r="AC16" i="20"/>
  <c r="G19" i="20"/>
  <c r="A20" i="20"/>
  <c r="T19" i="20"/>
  <c r="U19" i="20" s="1"/>
  <c r="I19" i="20"/>
  <c r="J19" i="20" s="1"/>
  <c r="O19" i="20"/>
  <c r="P19" i="20" s="1"/>
  <c r="V19" i="20"/>
  <c r="Q17" i="19"/>
  <c r="S16" i="19"/>
  <c r="U18" i="20"/>
  <c r="M16" i="25"/>
  <c r="M16" i="20"/>
  <c r="X16" i="20" s="1"/>
  <c r="Y16" i="20" s="1"/>
  <c r="T19" i="19"/>
  <c r="G19" i="19"/>
  <c r="I19" i="19"/>
  <c r="J19" i="19" s="1"/>
  <c r="A20" i="19"/>
  <c r="O19" i="19"/>
  <c r="P19" i="19" s="1"/>
  <c r="V19" i="19"/>
  <c r="G19" i="24"/>
  <c r="T19" i="24"/>
  <c r="U19" i="24" s="1"/>
  <c r="I19" i="24"/>
  <c r="J19" i="24" s="1"/>
  <c r="O19" i="24"/>
  <c r="P19" i="24" s="1"/>
  <c r="A20" i="24"/>
  <c r="V19" i="24"/>
  <c r="AC16" i="21"/>
  <c r="W16" i="21"/>
  <c r="T19" i="26"/>
  <c r="U19" i="26" s="1"/>
  <c r="G19" i="26"/>
  <c r="I19" i="26"/>
  <c r="J19" i="26" s="1"/>
  <c r="O19" i="26"/>
  <c r="P19" i="26" s="1"/>
  <c r="A20" i="26"/>
  <c r="V19" i="26"/>
  <c r="O18" i="27"/>
  <c r="P18" i="27" s="1"/>
  <c r="T18" i="27"/>
  <c r="G18" i="27"/>
  <c r="I18" i="27"/>
  <c r="J18" i="27" s="1"/>
  <c r="V18" i="27"/>
  <c r="A19" i="27"/>
  <c r="AC16" i="22"/>
  <c r="W16" i="22"/>
  <c r="S16" i="25"/>
  <c r="AC16" i="27"/>
  <c r="W16" i="27"/>
  <c r="W16" i="29"/>
  <c r="AC16" i="29"/>
  <c r="I20" i="21"/>
  <c r="J20" i="21" s="1"/>
  <c r="T20" i="21"/>
  <c r="U20" i="21" s="1"/>
  <c r="G20" i="21"/>
  <c r="A21" i="21"/>
  <c r="O20" i="21"/>
  <c r="P20" i="21" s="1"/>
  <c r="V20" i="21"/>
  <c r="M16" i="19"/>
  <c r="X16" i="19" s="1"/>
  <c r="Y16" i="19" s="1"/>
  <c r="W16" i="19"/>
  <c r="AC16" i="19"/>
  <c r="I20" i="23"/>
  <c r="J20" i="23" s="1"/>
  <c r="G20" i="23"/>
  <c r="T20" i="23"/>
  <c r="O20" i="23"/>
  <c r="P20" i="23" s="1"/>
  <c r="A21" i="23"/>
  <c r="V20" i="23"/>
  <c r="M16" i="22"/>
  <c r="X16" i="22" s="1"/>
  <c r="Q17" i="22"/>
  <c r="S17" i="22" s="1"/>
  <c r="S16" i="26"/>
  <c r="X16" i="26" s="1"/>
  <c r="L17" i="27"/>
  <c r="S16" i="29"/>
  <c r="X16" i="29" s="1"/>
  <c r="U17" i="17"/>
  <c r="K17" i="25" l="1"/>
  <c r="Q17" i="26"/>
  <c r="S17" i="26" s="1"/>
  <c r="Q17" i="24"/>
  <c r="S17" i="24" s="1"/>
  <c r="K17" i="22"/>
  <c r="M17" i="22" s="1"/>
  <c r="X17" i="22" s="1"/>
  <c r="Y17" i="22" s="1"/>
  <c r="K17" i="19"/>
  <c r="AC17" i="19" s="1"/>
  <c r="H18" i="23"/>
  <c r="H18" i="26"/>
  <c r="H18" i="19"/>
  <c r="L18" i="19" s="1"/>
  <c r="N18" i="19"/>
  <c r="R18" i="19" s="1"/>
  <c r="N18" i="23"/>
  <c r="H18" i="24"/>
  <c r="N18" i="21"/>
  <c r="N18" i="22"/>
  <c r="R18" i="22" s="1"/>
  <c r="N18" i="20"/>
  <c r="H18" i="22"/>
  <c r="N18" i="24"/>
  <c r="H18" i="21"/>
  <c r="N18" i="26"/>
  <c r="N18" i="25"/>
  <c r="R18" i="25" s="1"/>
  <c r="H18" i="20"/>
  <c r="L18" i="20" s="1"/>
  <c r="K17" i="20"/>
  <c r="W17" i="20" s="1"/>
  <c r="Q17" i="25"/>
  <c r="S17" i="25" s="1"/>
  <c r="H18" i="27"/>
  <c r="L18" i="27" s="1"/>
  <c r="H18" i="25"/>
  <c r="L18" i="25" s="1"/>
  <c r="K17" i="21"/>
  <c r="M17" i="21" s="1"/>
  <c r="X17" i="21" s="1"/>
  <c r="Y17" i="21" s="1"/>
  <c r="K17" i="29"/>
  <c r="L17" i="24"/>
  <c r="K17" i="24"/>
  <c r="R17" i="23"/>
  <c r="Q17" i="23"/>
  <c r="H18" i="29"/>
  <c r="R17" i="27"/>
  <c r="Q17" i="29"/>
  <c r="S17" i="29" s="1"/>
  <c r="T19" i="29"/>
  <c r="U19" i="29" s="1"/>
  <c r="G19" i="29"/>
  <c r="R11" i="1"/>
  <c r="S11" i="1" s="1"/>
  <c r="O19" i="29"/>
  <c r="P19" i="29" s="1"/>
  <c r="A20" i="29"/>
  <c r="Z19" i="29"/>
  <c r="I19" i="29"/>
  <c r="J19" i="29" s="1"/>
  <c r="AA19" i="29"/>
  <c r="V19" i="29"/>
  <c r="K17" i="26"/>
  <c r="L17" i="26"/>
  <c r="N19" i="29"/>
  <c r="R19" i="29" s="1"/>
  <c r="L17" i="23"/>
  <c r="K17" i="23"/>
  <c r="N18" i="29"/>
  <c r="T20" i="22"/>
  <c r="U20" i="22" s="1"/>
  <c r="I20" i="22"/>
  <c r="J20" i="22" s="1"/>
  <c r="O20" i="22"/>
  <c r="P20" i="22" s="1"/>
  <c r="G20" i="22"/>
  <c r="V20" i="22"/>
  <c r="A21" i="22"/>
  <c r="X17" i="27"/>
  <c r="Y17" i="27" s="1"/>
  <c r="Y16" i="22"/>
  <c r="Y16" i="29"/>
  <c r="Y16" i="26"/>
  <c r="X16" i="25"/>
  <c r="Y16" i="25" s="1"/>
  <c r="O19" i="25"/>
  <c r="P19" i="25" s="1"/>
  <c r="G19" i="25"/>
  <c r="T19" i="25"/>
  <c r="U19" i="25" s="1"/>
  <c r="V19" i="25"/>
  <c r="I19" i="25"/>
  <c r="J19" i="25" s="1"/>
  <c r="A20" i="25"/>
  <c r="U18" i="27"/>
  <c r="S17" i="19"/>
  <c r="Q18" i="19"/>
  <c r="S18" i="19" s="1"/>
  <c r="AC17" i="27"/>
  <c r="W17" i="27"/>
  <c r="G20" i="19"/>
  <c r="T20" i="19"/>
  <c r="U20" i="19" s="1"/>
  <c r="O20" i="19"/>
  <c r="P20" i="19" s="1"/>
  <c r="I20" i="19"/>
  <c r="J20" i="19" s="1"/>
  <c r="A21" i="19"/>
  <c r="V20" i="19"/>
  <c r="G20" i="20"/>
  <c r="A21" i="20"/>
  <c r="T20" i="20"/>
  <c r="U20" i="20" s="1"/>
  <c r="I20" i="20"/>
  <c r="J20" i="20" s="1"/>
  <c r="O20" i="20"/>
  <c r="P20" i="20" s="1"/>
  <c r="V20" i="20"/>
  <c r="I21" i="23"/>
  <c r="J21" i="23" s="1"/>
  <c r="G21" i="23"/>
  <c r="O21" i="23"/>
  <c r="P21" i="23" s="1"/>
  <c r="T21" i="23"/>
  <c r="U21" i="23" s="1"/>
  <c r="A22" i="23"/>
  <c r="V21" i="23"/>
  <c r="O19" i="27"/>
  <c r="P19" i="27" s="1"/>
  <c r="G19" i="27"/>
  <c r="I19" i="27"/>
  <c r="J19" i="27" s="1"/>
  <c r="T19" i="27"/>
  <c r="U19" i="27" s="1"/>
  <c r="V19" i="27"/>
  <c r="H19" i="27"/>
  <c r="A20" i="27"/>
  <c r="W17" i="25"/>
  <c r="M17" i="25"/>
  <c r="X17" i="25" s="1"/>
  <c r="U20" i="23"/>
  <c r="R18" i="27"/>
  <c r="Q18" i="27"/>
  <c r="S18" i="27" s="1"/>
  <c r="U19" i="19"/>
  <c r="K18" i="27"/>
  <c r="T21" i="21"/>
  <c r="U21" i="21" s="1"/>
  <c r="I21" i="21"/>
  <c r="J21" i="21" s="1"/>
  <c r="A22" i="21"/>
  <c r="O21" i="21"/>
  <c r="P21" i="21" s="1"/>
  <c r="G21" i="21"/>
  <c r="V21" i="21"/>
  <c r="A21" i="26"/>
  <c r="I20" i="26"/>
  <c r="J20" i="26" s="1"/>
  <c r="G20" i="26"/>
  <c r="T20" i="26"/>
  <c r="U20" i="26" s="1"/>
  <c r="O20" i="26"/>
  <c r="P20" i="26" s="1"/>
  <c r="V20" i="26"/>
  <c r="I20" i="24"/>
  <c r="J20" i="24" s="1"/>
  <c r="A21" i="24"/>
  <c r="O20" i="24"/>
  <c r="P20" i="24" s="1"/>
  <c r="G20" i="24"/>
  <c r="T20" i="24"/>
  <c r="U20" i="24" s="1"/>
  <c r="V20" i="24"/>
  <c r="U18" i="17"/>
  <c r="AC17" i="22" l="1"/>
  <c r="W17" i="22"/>
  <c r="W17" i="21"/>
  <c r="M17" i="19"/>
  <c r="X17" i="19" s="1"/>
  <c r="Y17" i="19" s="1"/>
  <c r="W17" i="19"/>
  <c r="AC17" i="25"/>
  <c r="Q18" i="22"/>
  <c r="S18" i="22" s="1"/>
  <c r="AC17" i="23"/>
  <c r="AC17" i="21"/>
  <c r="M17" i="20"/>
  <c r="X17" i="20" s="1"/>
  <c r="Y17" i="20" s="1"/>
  <c r="K18" i="20"/>
  <c r="AC18" i="20" s="1"/>
  <c r="K18" i="19"/>
  <c r="W18" i="19" s="1"/>
  <c r="M17" i="23"/>
  <c r="AC17" i="24"/>
  <c r="W17" i="24"/>
  <c r="M17" i="24"/>
  <c r="X17" i="24" s="1"/>
  <c r="Y17" i="24" s="1"/>
  <c r="R18" i="21"/>
  <c r="Q18" i="21"/>
  <c r="S18" i="21" s="1"/>
  <c r="K18" i="24"/>
  <c r="L18" i="24"/>
  <c r="Q18" i="25"/>
  <c r="S18" i="25" s="1"/>
  <c r="I20" i="29"/>
  <c r="J20" i="29" s="1"/>
  <c r="O20" i="29"/>
  <c r="P20" i="29" s="1"/>
  <c r="R12" i="1"/>
  <c r="S12" i="1" s="1"/>
  <c r="H20" i="27" s="1"/>
  <c r="N20" i="29"/>
  <c r="G20" i="29"/>
  <c r="A21" i="29"/>
  <c r="AA20" i="29"/>
  <c r="Z20" i="29"/>
  <c r="V20" i="29"/>
  <c r="T20" i="29"/>
  <c r="U20" i="29" s="1"/>
  <c r="W17" i="29"/>
  <c r="AC17" i="29"/>
  <c r="Q18" i="26"/>
  <c r="S18" i="26" s="1"/>
  <c r="R18" i="26"/>
  <c r="R18" i="23"/>
  <c r="Q18" i="23"/>
  <c r="Q19" i="23" s="1"/>
  <c r="S19" i="23" s="1"/>
  <c r="K18" i="25"/>
  <c r="M18" i="25" s="1"/>
  <c r="L18" i="21"/>
  <c r="K18" i="21"/>
  <c r="N20" i="25"/>
  <c r="R20" i="25" s="1"/>
  <c r="N19" i="23"/>
  <c r="R19" i="23" s="1"/>
  <c r="H19" i="21"/>
  <c r="H19" i="29"/>
  <c r="N19" i="19"/>
  <c r="R19" i="19" s="1"/>
  <c r="H19" i="20"/>
  <c r="L19" i="20" s="1"/>
  <c r="H19" i="19"/>
  <c r="L19" i="19" s="1"/>
  <c r="H19" i="24"/>
  <c r="H19" i="26"/>
  <c r="H19" i="23"/>
  <c r="H19" i="25"/>
  <c r="L19" i="25" s="1"/>
  <c r="N19" i="24"/>
  <c r="N19" i="20"/>
  <c r="N19" i="22"/>
  <c r="R19" i="22" s="1"/>
  <c r="N19" i="25"/>
  <c r="R19" i="25" s="1"/>
  <c r="N19" i="26"/>
  <c r="H19" i="22"/>
  <c r="N19" i="21"/>
  <c r="Q18" i="24"/>
  <c r="S18" i="24" s="1"/>
  <c r="R18" i="24"/>
  <c r="S18" i="23"/>
  <c r="M17" i="29"/>
  <c r="X17" i="29" s="1"/>
  <c r="Y17" i="29" s="1"/>
  <c r="L18" i="22"/>
  <c r="K18" i="22"/>
  <c r="W18" i="22" s="1"/>
  <c r="L18" i="26"/>
  <c r="K18" i="26"/>
  <c r="M17" i="26"/>
  <c r="X17" i="26" s="1"/>
  <c r="Y17" i="26" s="1"/>
  <c r="AC17" i="26"/>
  <c r="W17" i="26"/>
  <c r="L18" i="29"/>
  <c r="K18" i="29"/>
  <c r="N19" i="27"/>
  <c r="AC17" i="20"/>
  <c r="Z16" i="22"/>
  <c r="AA16" i="22" s="1"/>
  <c r="R18" i="29"/>
  <c r="Q18" i="29"/>
  <c r="Q19" i="29" s="1"/>
  <c r="S19" i="29" s="1"/>
  <c r="S18" i="29"/>
  <c r="W17" i="23"/>
  <c r="S17" i="23"/>
  <c r="Q18" i="20"/>
  <c r="S18" i="20" s="1"/>
  <c r="R18" i="20"/>
  <c r="L18" i="23"/>
  <c r="K18" i="23"/>
  <c r="Z16" i="25"/>
  <c r="G21" i="22"/>
  <c r="T21" i="22"/>
  <c r="U21" i="22" s="1"/>
  <c r="I21" i="22"/>
  <c r="J21" i="22" s="1"/>
  <c r="A22" i="22"/>
  <c r="V21" i="22"/>
  <c r="O21" i="22"/>
  <c r="P21" i="22" s="1"/>
  <c r="Y17" i="25"/>
  <c r="Q19" i="19"/>
  <c r="S19" i="19" s="1"/>
  <c r="V20" i="25"/>
  <c r="O20" i="25"/>
  <c r="P20" i="25" s="1"/>
  <c r="G20" i="25"/>
  <c r="I20" i="25"/>
  <c r="J20" i="25" s="1"/>
  <c r="T20" i="25"/>
  <c r="U20" i="25" s="1"/>
  <c r="A21" i="25"/>
  <c r="Z16" i="27"/>
  <c r="Z16" i="20"/>
  <c r="Z16" i="23"/>
  <c r="Z16" i="26"/>
  <c r="Z16" i="24"/>
  <c r="Z16" i="21"/>
  <c r="Z16" i="19"/>
  <c r="T21" i="24"/>
  <c r="U21" i="24" s="1"/>
  <c r="A22" i="24"/>
  <c r="O21" i="24"/>
  <c r="P21" i="24" s="1"/>
  <c r="G21" i="24"/>
  <c r="I21" i="24"/>
  <c r="J21" i="24" s="1"/>
  <c r="V21" i="24"/>
  <c r="AC18" i="27"/>
  <c r="W18" i="27"/>
  <c r="I20" i="27"/>
  <c r="J20" i="27" s="1"/>
  <c r="T20" i="27"/>
  <c r="U20" i="27" s="1"/>
  <c r="G20" i="27"/>
  <c r="O20" i="27"/>
  <c r="P20" i="27" s="1"/>
  <c r="V20" i="27"/>
  <c r="A21" i="27"/>
  <c r="T21" i="19"/>
  <c r="I21" i="19"/>
  <c r="J21" i="19" s="1"/>
  <c r="G21" i="19"/>
  <c r="O21" i="19"/>
  <c r="P21" i="19" s="1"/>
  <c r="A22" i="19"/>
  <c r="V21" i="19"/>
  <c r="L19" i="27"/>
  <c r="K19" i="27"/>
  <c r="M19" i="27" s="1"/>
  <c r="A22" i="20"/>
  <c r="T21" i="20"/>
  <c r="U21" i="20" s="1"/>
  <c r="G21" i="20"/>
  <c r="O21" i="20"/>
  <c r="P21" i="20" s="1"/>
  <c r="I21" i="20"/>
  <c r="J21" i="20" s="1"/>
  <c r="V21" i="20"/>
  <c r="R19" i="27"/>
  <c r="Q19" i="27"/>
  <c r="S19" i="27" s="1"/>
  <c r="G22" i="21"/>
  <c r="T22" i="21"/>
  <c r="U22" i="21" s="1"/>
  <c r="A23" i="21"/>
  <c r="I22" i="21"/>
  <c r="J22" i="21" s="1"/>
  <c r="O22" i="21"/>
  <c r="P22" i="21" s="1"/>
  <c r="V22" i="21"/>
  <c r="T22" i="23"/>
  <c r="G22" i="23"/>
  <c r="A23" i="23"/>
  <c r="O22" i="23"/>
  <c r="P22" i="23" s="1"/>
  <c r="I22" i="23"/>
  <c r="J22" i="23" s="1"/>
  <c r="V22" i="23"/>
  <c r="A22" i="26"/>
  <c r="I21" i="26"/>
  <c r="J21" i="26" s="1"/>
  <c r="T21" i="26"/>
  <c r="G21" i="26"/>
  <c r="O21" i="26"/>
  <c r="P21" i="26" s="1"/>
  <c r="V21" i="26"/>
  <c r="M18" i="27"/>
  <c r="X18" i="27" s="1"/>
  <c r="U19" i="17"/>
  <c r="Z17" i="20" l="1"/>
  <c r="AA17" i="20" s="1"/>
  <c r="Z17" i="25"/>
  <c r="BE31" i="12" s="1"/>
  <c r="H20" i="29"/>
  <c r="L20" i="29" s="1"/>
  <c r="N20" i="27"/>
  <c r="Q19" i="22"/>
  <c r="S19" i="22" s="1"/>
  <c r="M18" i="20"/>
  <c r="X18" i="20" s="1"/>
  <c r="Y18" i="20" s="1"/>
  <c r="X18" i="25"/>
  <c r="Y18" i="25" s="1"/>
  <c r="BD28" i="12"/>
  <c r="AC18" i="19"/>
  <c r="M18" i="19"/>
  <c r="X18" i="19" s="1"/>
  <c r="Y18" i="19" s="1"/>
  <c r="Z17" i="19"/>
  <c r="BE25" i="12" s="1"/>
  <c r="Z17" i="24"/>
  <c r="W18" i="21"/>
  <c r="AC18" i="21"/>
  <c r="M18" i="21"/>
  <c r="X18" i="21" s="1"/>
  <c r="Y18" i="21" s="1"/>
  <c r="R20" i="29"/>
  <c r="Q20" i="29"/>
  <c r="S20" i="29" s="1"/>
  <c r="W18" i="20"/>
  <c r="AC18" i="25"/>
  <c r="H20" i="23"/>
  <c r="H20" i="19"/>
  <c r="L20" i="19" s="1"/>
  <c r="H20" i="22"/>
  <c r="N20" i="26"/>
  <c r="H20" i="24"/>
  <c r="H20" i="26"/>
  <c r="H20" i="21"/>
  <c r="L20" i="21" s="1"/>
  <c r="N20" i="20"/>
  <c r="H20" i="20"/>
  <c r="N20" i="23"/>
  <c r="N20" i="21"/>
  <c r="N20" i="19"/>
  <c r="R20" i="19" s="1"/>
  <c r="N20" i="24"/>
  <c r="N20" i="22"/>
  <c r="R20" i="22" s="1"/>
  <c r="H20" i="25"/>
  <c r="L20" i="25" s="1"/>
  <c r="Q19" i="20"/>
  <c r="S19" i="20" s="1"/>
  <c r="R19" i="20"/>
  <c r="R19" i="24"/>
  <c r="Q19" i="24"/>
  <c r="S19" i="24" s="1"/>
  <c r="L19" i="29"/>
  <c r="K19" i="29"/>
  <c r="K20" i="29" s="1"/>
  <c r="W20" i="29" s="1"/>
  <c r="K19" i="19"/>
  <c r="AC18" i="26"/>
  <c r="W18" i="26"/>
  <c r="M18" i="26"/>
  <c r="X18" i="26" s="1"/>
  <c r="Y18" i="26" s="1"/>
  <c r="K19" i="21"/>
  <c r="L19" i="21"/>
  <c r="Q19" i="25"/>
  <c r="S19" i="25" s="1"/>
  <c r="Z17" i="27"/>
  <c r="Q19" i="21"/>
  <c r="S19" i="21" s="1"/>
  <c r="R19" i="21"/>
  <c r="L19" i="23"/>
  <c r="K19" i="23"/>
  <c r="Z17" i="22"/>
  <c r="AA17" i="22" s="1"/>
  <c r="K19" i="25"/>
  <c r="M19" i="25" s="1"/>
  <c r="X17" i="23"/>
  <c r="M18" i="22"/>
  <c r="X18" i="22" s="1"/>
  <c r="Y18" i="22" s="1"/>
  <c r="AC18" i="22"/>
  <c r="L19" i="22"/>
  <c r="K19" i="22"/>
  <c r="M19" i="22" s="1"/>
  <c r="L19" i="26"/>
  <c r="K19" i="26"/>
  <c r="A22" i="29"/>
  <c r="Z21" i="29"/>
  <c r="AA21" i="29"/>
  <c r="G21" i="29"/>
  <c r="R13" i="1"/>
  <c r="S13" i="1" s="1"/>
  <c r="H21" i="25" s="1"/>
  <c r="L21" i="25" s="1"/>
  <c r="I21" i="29"/>
  <c r="J21" i="29" s="1"/>
  <c r="T21" i="29"/>
  <c r="U21" i="29" s="1"/>
  <c r="V21" i="29"/>
  <c r="O21" i="29"/>
  <c r="P21" i="29" s="1"/>
  <c r="M18" i="23"/>
  <c r="X18" i="23" s="1"/>
  <c r="AC18" i="23"/>
  <c r="W18" i="23"/>
  <c r="Z17" i="21"/>
  <c r="BE27" i="12" s="1"/>
  <c r="W18" i="25"/>
  <c r="Z17" i="26"/>
  <c r="M18" i="29"/>
  <c r="X18" i="29" s="1"/>
  <c r="Y18" i="29" s="1"/>
  <c r="AC18" i="29"/>
  <c r="W18" i="29"/>
  <c r="Q19" i="26"/>
  <c r="S19" i="26" s="1"/>
  <c r="R19" i="26"/>
  <c r="L19" i="24"/>
  <c r="K19" i="24"/>
  <c r="K19" i="20"/>
  <c r="AC18" i="24"/>
  <c r="W18" i="24"/>
  <c r="M18" i="24"/>
  <c r="X18" i="24" s="1"/>
  <c r="Y18" i="24" s="1"/>
  <c r="T22" i="22"/>
  <c r="U22" i="22" s="1"/>
  <c r="G22" i="22"/>
  <c r="I22" i="22"/>
  <c r="J22" i="22" s="1"/>
  <c r="O22" i="22"/>
  <c r="P22" i="22" s="1"/>
  <c r="V22" i="22"/>
  <c r="A23" i="22"/>
  <c r="AA16" i="25"/>
  <c r="BD31" i="12"/>
  <c r="A22" i="25"/>
  <c r="O21" i="25"/>
  <c r="P21" i="25" s="1"/>
  <c r="G21" i="25"/>
  <c r="T21" i="25"/>
  <c r="U21" i="25" s="1"/>
  <c r="I21" i="25"/>
  <c r="J21" i="25" s="1"/>
  <c r="V21" i="25"/>
  <c r="AA16" i="20"/>
  <c r="BD26" i="12"/>
  <c r="AA16" i="27"/>
  <c r="BD33" i="12"/>
  <c r="Y18" i="27"/>
  <c r="AA16" i="23"/>
  <c r="BD29" i="12"/>
  <c r="AA16" i="21"/>
  <c r="BD27" i="12"/>
  <c r="X19" i="27"/>
  <c r="Y19" i="27" s="1"/>
  <c r="BD25" i="12"/>
  <c r="AA16" i="19"/>
  <c r="AA16" i="24"/>
  <c r="BD30" i="12"/>
  <c r="BD32" i="12"/>
  <c r="AA16" i="26"/>
  <c r="G22" i="19"/>
  <c r="O22" i="19"/>
  <c r="P22" i="19" s="1"/>
  <c r="A23" i="19"/>
  <c r="T22" i="19"/>
  <c r="U22" i="19" s="1"/>
  <c r="I22" i="19"/>
  <c r="J22" i="19" s="1"/>
  <c r="V22" i="19"/>
  <c r="M19" i="19"/>
  <c r="X19" i="19" s="1"/>
  <c r="W19" i="19"/>
  <c r="AC19" i="19"/>
  <c r="W19" i="27"/>
  <c r="AC19" i="27"/>
  <c r="L20" i="27"/>
  <c r="K20" i="27"/>
  <c r="I23" i="21"/>
  <c r="J23" i="21" s="1"/>
  <c r="A24" i="21"/>
  <c r="G23" i="21"/>
  <c r="O23" i="21"/>
  <c r="P23" i="21" s="1"/>
  <c r="T23" i="21"/>
  <c r="U23" i="21" s="1"/>
  <c r="V23" i="21"/>
  <c r="G22" i="20"/>
  <c r="T22" i="20"/>
  <c r="A23" i="20"/>
  <c r="I22" i="20"/>
  <c r="J22" i="20" s="1"/>
  <c r="O22" i="20"/>
  <c r="P22" i="20" s="1"/>
  <c r="V22" i="20"/>
  <c r="U21" i="19"/>
  <c r="G23" i="23"/>
  <c r="I23" i="23"/>
  <c r="J23" i="23" s="1"/>
  <c r="T23" i="23"/>
  <c r="U23" i="23" s="1"/>
  <c r="A24" i="23"/>
  <c r="O23" i="23"/>
  <c r="P23" i="23" s="1"/>
  <c r="V23" i="23"/>
  <c r="O22" i="24"/>
  <c r="P22" i="24" s="1"/>
  <c r="I22" i="24"/>
  <c r="J22" i="24" s="1"/>
  <c r="T22" i="24"/>
  <c r="G22" i="24"/>
  <c r="A23" i="24"/>
  <c r="V22" i="24"/>
  <c r="U21" i="26"/>
  <c r="I22" i="26"/>
  <c r="J22" i="26" s="1"/>
  <c r="A23" i="26"/>
  <c r="O22" i="26"/>
  <c r="P22" i="26" s="1"/>
  <c r="T22" i="26"/>
  <c r="U22" i="26" s="1"/>
  <c r="G22" i="26"/>
  <c r="V22" i="26"/>
  <c r="R20" i="27"/>
  <c r="Q20" i="27"/>
  <c r="S20" i="27" s="1"/>
  <c r="U22" i="23"/>
  <c r="O21" i="27"/>
  <c r="P21" i="27" s="1"/>
  <c r="G21" i="27"/>
  <c r="H21" i="27"/>
  <c r="T21" i="27"/>
  <c r="U21" i="27" s="1"/>
  <c r="I21" i="27"/>
  <c r="J21" i="27" s="1"/>
  <c r="A22" i="27"/>
  <c r="V21" i="27"/>
  <c r="U20" i="17"/>
  <c r="AA17" i="25" l="1"/>
  <c r="BE26" i="12"/>
  <c r="AA17" i="21"/>
  <c r="M19" i="29"/>
  <c r="X19" i="29" s="1"/>
  <c r="Y19" i="29" s="1"/>
  <c r="Z19" i="27" s="1"/>
  <c r="BG33" i="12" s="1"/>
  <c r="K20" i="19"/>
  <c r="K21" i="19" s="1"/>
  <c r="AA17" i="19"/>
  <c r="Z18" i="27"/>
  <c r="BF33" i="12" s="1"/>
  <c r="Y19" i="19"/>
  <c r="X19" i="25"/>
  <c r="Y19" i="25" s="1"/>
  <c r="Z18" i="19"/>
  <c r="BF25" i="12" s="1"/>
  <c r="AC19" i="25"/>
  <c r="K20" i="25"/>
  <c r="M20" i="25" s="1"/>
  <c r="W19" i="25"/>
  <c r="Y18" i="23"/>
  <c r="Z18" i="24"/>
  <c r="X19" i="22"/>
  <c r="Y19" i="22" s="1"/>
  <c r="AC19" i="26"/>
  <c r="M19" i="26"/>
  <c r="X19" i="26" s="1"/>
  <c r="Y19" i="26" s="1"/>
  <c r="W19" i="26"/>
  <c r="L20" i="26"/>
  <c r="K20" i="26"/>
  <c r="N21" i="25"/>
  <c r="R21" i="25" s="1"/>
  <c r="Z18" i="20"/>
  <c r="AA18" i="20" s="1"/>
  <c r="Q20" i="22"/>
  <c r="S20" i="22" s="1"/>
  <c r="R20" i="24"/>
  <c r="Q20" i="24"/>
  <c r="S20" i="24" s="1"/>
  <c r="L20" i="24"/>
  <c r="K20" i="24"/>
  <c r="Z18" i="21"/>
  <c r="W19" i="24"/>
  <c r="AC19" i="24"/>
  <c r="Z18" i="26"/>
  <c r="M19" i="24"/>
  <c r="X19" i="24" s="1"/>
  <c r="Y19" i="24" s="1"/>
  <c r="R20" i="23"/>
  <c r="Q20" i="23"/>
  <c r="S20" i="23" s="1"/>
  <c r="AC20" i="29"/>
  <c r="Q20" i="25"/>
  <c r="S20" i="25" s="1"/>
  <c r="X20" i="25" s="1"/>
  <c r="Z18" i="22"/>
  <c r="L20" i="20"/>
  <c r="K20" i="20"/>
  <c r="L20" i="23"/>
  <c r="K20" i="23"/>
  <c r="AC19" i="20"/>
  <c r="W19" i="20"/>
  <c r="M19" i="20"/>
  <c r="X19" i="20" s="1"/>
  <c r="Y19" i="20" s="1"/>
  <c r="AC19" i="22"/>
  <c r="AA17" i="26"/>
  <c r="BE32" i="12"/>
  <c r="H21" i="19"/>
  <c r="L21" i="19" s="1"/>
  <c r="H21" i="29"/>
  <c r="N21" i="20"/>
  <c r="N21" i="22"/>
  <c r="R21" i="22" s="1"/>
  <c r="H21" i="23"/>
  <c r="H21" i="22"/>
  <c r="H21" i="20"/>
  <c r="H21" i="26"/>
  <c r="H21" i="24"/>
  <c r="N21" i="23"/>
  <c r="N21" i="26"/>
  <c r="H21" i="21"/>
  <c r="N21" i="21"/>
  <c r="N21" i="24"/>
  <c r="N21" i="29"/>
  <c r="N21" i="19"/>
  <c r="M19" i="23"/>
  <c r="X19" i="23" s="1"/>
  <c r="Y19" i="23" s="1"/>
  <c r="AC19" i="23"/>
  <c r="W19" i="23"/>
  <c r="R20" i="21"/>
  <c r="Q20" i="21"/>
  <c r="S20" i="21" s="1"/>
  <c r="N21" i="27"/>
  <c r="M20" i="29"/>
  <c r="X20" i="29" s="1"/>
  <c r="Q20" i="19"/>
  <c r="S20" i="19" s="1"/>
  <c r="Y17" i="23"/>
  <c r="Z17" i="23" s="1"/>
  <c r="R20" i="20"/>
  <c r="Q20" i="20"/>
  <c r="S20" i="20" s="1"/>
  <c r="AA17" i="24"/>
  <c r="BE30" i="12"/>
  <c r="Z18" i="23"/>
  <c r="K20" i="21"/>
  <c r="AC19" i="21"/>
  <c r="W19" i="21"/>
  <c r="M19" i="21"/>
  <c r="X19" i="21" s="1"/>
  <c r="Y19" i="21" s="1"/>
  <c r="R20" i="26"/>
  <c r="Q20" i="26"/>
  <c r="S20" i="26" s="1"/>
  <c r="W19" i="22"/>
  <c r="K20" i="22"/>
  <c r="L20" i="22"/>
  <c r="BE28" i="12"/>
  <c r="O22" i="29"/>
  <c r="P22" i="29" s="1"/>
  <c r="T22" i="29"/>
  <c r="U22" i="29" s="1"/>
  <c r="V22" i="29"/>
  <c r="R14" i="1"/>
  <c r="S14" i="1" s="1"/>
  <c r="G22" i="29"/>
  <c r="AA22" i="29"/>
  <c r="Z22" i="29"/>
  <c r="A23" i="29"/>
  <c r="I22" i="29"/>
  <c r="J22" i="29" s="1"/>
  <c r="AA17" i="27"/>
  <c r="BE33" i="12"/>
  <c r="AC19" i="29"/>
  <c r="W19" i="29"/>
  <c r="Z18" i="25"/>
  <c r="O23" i="22"/>
  <c r="P23" i="22" s="1"/>
  <c r="T23" i="22"/>
  <c r="U23" i="22" s="1"/>
  <c r="A24" i="22"/>
  <c r="G23" i="22"/>
  <c r="I23" i="22"/>
  <c r="J23" i="22" s="1"/>
  <c r="V23" i="22"/>
  <c r="N22" i="25"/>
  <c r="V22" i="25"/>
  <c r="G22" i="25"/>
  <c r="A23" i="25"/>
  <c r="O22" i="25"/>
  <c r="P22" i="25" s="1"/>
  <c r="T22" i="25"/>
  <c r="U22" i="25" s="1"/>
  <c r="I22" i="25"/>
  <c r="J22" i="25" s="1"/>
  <c r="AC20" i="25"/>
  <c r="O23" i="26"/>
  <c r="P23" i="26" s="1"/>
  <c r="I23" i="26"/>
  <c r="J23" i="26" s="1"/>
  <c r="A24" i="26"/>
  <c r="T23" i="26"/>
  <c r="U23" i="26" s="1"/>
  <c r="G23" i="26"/>
  <c r="V23" i="26"/>
  <c r="AC20" i="27"/>
  <c r="W20" i="27"/>
  <c r="L21" i="27"/>
  <c r="K21" i="27"/>
  <c r="M21" i="27" s="1"/>
  <c r="T23" i="19"/>
  <c r="A24" i="19"/>
  <c r="I23" i="19"/>
  <c r="J23" i="19" s="1"/>
  <c r="O23" i="19"/>
  <c r="P23" i="19" s="1"/>
  <c r="G23" i="19"/>
  <c r="V23" i="19"/>
  <c r="T23" i="20"/>
  <c r="U23" i="20" s="1"/>
  <c r="G23" i="20"/>
  <c r="A24" i="20"/>
  <c r="O23" i="20"/>
  <c r="P23" i="20" s="1"/>
  <c r="I23" i="20"/>
  <c r="J23" i="20" s="1"/>
  <c r="V23" i="20"/>
  <c r="U22" i="24"/>
  <c r="U22" i="20"/>
  <c r="G24" i="21"/>
  <c r="I24" i="21"/>
  <c r="J24" i="21" s="1"/>
  <c r="T24" i="21"/>
  <c r="U24" i="21" s="1"/>
  <c r="A25" i="21"/>
  <c r="O24" i="21"/>
  <c r="P24" i="21" s="1"/>
  <c r="V24" i="21"/>
  <c r="R21" i="27"/>
  <c r="Q21" i="27"/>
  <c r="S21" i="27" s="1"/>
  <c r="I22" i="27"/>
  <c r="J22" i="27" s="1"/>
  <c r="H22" i="27"/>
  <c r="G22" i="27"/>
  <c r="N22" i="27"/>
  <c r="T22" i="27"/>
  <c r="O22" i="27"/>
  <c r="P22" i="27" s="1"/>
  <c r="A23" i="27"/>
  <c r="V22" i="27"/>
  <c r="T24" i="23"/>
  <c r="O24" i="23"/>
  <c r="P24" i="23" s="1"/>
  <c r="A25" i="23"/>
  <c r="G24" i="23"/>
  <c r="I24" i="23"/>
  <c r="J24" i="23" s="1"/>
  <c r="V24" i="23"/>
  <c r="T23" i="24"/>
  <c r="U23" i="24" s="1"/>
  <c r="G23" i="24"/>
  <c r="I23" i="24"/>
  <c r="J23" i="24" s="1"/>
  <c r="A24" i="24"/>
  <c r="O23" i="24"/>
  <c r="P23" i="24" s="1"/>
  <c r="V23" i="24"/>
  <c r="M20" i="27"/>
  <c r="X20" i="27" s="1"/>
  <c r="Y20" i="27" s="1"/>
  <c r="U21" i="17"/>
  <c r="M20" i="19" l="1"/>
  <c r="Y20" i="29"/>
  <c r="Z20" i="27" s="1"/>
  <c r="BH33" i="12" s="1"/>
  <c r="AA18" i="27"/>
  <c r="AA19" i="27" s="1"/>
  <c r="X20" i="19"/>
  <c r="Y20" i="19" s="1"/>
  <c r="Q21" i="22"/>
  <c r="S21" i="22" s="1"/>
  <c r="Z19" i="26"/>
  <c r="BG32" i="12" s="1"/>
  <c r="AA18" i="19"/>
  <c r="Y20" i="25"/>
  <c r="Z19" i="20"/>
  <c r="BG26" i="12" s="1"/>
  <c r="K21" i="25"/>
  <c r="M21" i="25" s="1"/>
  <c r="Z19" i="22"/>
  <c r="BG28" i="12" s="1"/>
  <c r="L21" i="23"/>
  <c r="K21" i="23"/>
  <c r="BF28" i="12"/>
  <c r="AA18" i="22"/>
  <c r="K21" i="21"/>
  <c r="L21" i="21"/>
  <c r="AA23" i="29"/>
  <c r="A24" i="29"/>
  <c r="G23" i="29"/>
  <c r="I23" i="29"/>
  <c r="J23" i="29" s="1"/>
  <c r="T23" i="29"/>
  <c r="U23" i="29" s="1"/>
  <c r="V23" i="29"/>
  <c r="O23" i="29"/>
  <c r="P23" i="29" s="1"/>
  <c r="Z23" i="29"/>
  <c r="R15" i="1"/>
  <c r="S15" i="1" s="1"/>
  <c r="H23" i="29" s="1"/>
  <c r="L23" i="29" s="1"/>
  <c r="AA17" i="23"/>
  <c r="AA18" i="23" s="1"/>
  <c r="BE29" i="12"/>
  <c r="R21" i="26"/>
  <c r="Q21" i="26"/>
  <c r="S21" i="26" s="1"/>
  <c r="Q21" i="20"/>
  <c r="S21" i="20" s="1"/>
  <c r="R21" i="20"/>
  <c r="W20" i="24"/>
  <c r="M20" i="24"/>
  <c r="X20" i="24" s="1"/>
  <c r="AC20" i="24"/>
  <c r="M20" i="26"/>
  <c r="X20" i="26" s="1"/>
  <c r="Y20" i="26" s="1"/>
  <c r="AC20" i="26"/>
  <c r="W20" i="26"/>
  <c r="AC20" i="19"/>
  <c r="BF26" i="12"/>
  <c r="BF31" i="12"/>
  <c r="AA18" i="25"/>
  <c r="M20" i="21"/>
  <c r="X20" i="21" s="1"/>
  <c r="Y20" i="21" s="1"/>
  <c r="W20" i="21"/>
  <c r="AC20" i="21"/>
  <c r="Z19" i="23"/>
  <c r="Z19" i="21"/>
  <c r="Z19" i="24"/>
  <c r="R21" i="23"/>
  <c r="Q21" i="23"/>
  <c r="L21" i="29"/>
  <c r="K21" i="29"/>
  <c r="BF30" i="12"/>
  <c r="AA18" i="24"/>
  <c r="R21" i="21"/>
  <c r="Q21" i="21"/>
  <c r="S21" i="21" s="1"/>
  <c r="M20" i="22"/>
  <c r="X20" i="22" s="1"/>
  <c r="Y20" i="22" s="1"/>
  <c r="W20" i="22"/>
  <c r="AC20" i="22"/>
  <c r="M20" i="23"/>
  <c r="X20" i="23" s="1"/>
  <c r="Y20" i="23" s="1"/>
  <c r="W20" i="23"/>
  <c r="AC20" i="23"/>
  <c r="W20" i="19"/>
  <c r="R21" i="19"/>
  <c r="Q21" i="19"/>
  <c r="S21" i="19" s="1"/>
  <c r="K21" i="26"/>
  <c r="L21" i="26"/>
  <c r="BF29" i="12"/>
  <c r="H22" i="21"/>
  <c r="N22" i="23"/>
  <c r="R22" i="23" s="1"/>
  <c r="N22" i="21"/>
  <c r="N22" i="19"/>
  <c r="H22" i="22"/>
  <c r="N22" i="24"/>
  <c r="N22" i="22"/>
  <c r="H22" i="20"/>
  <c r="H22" i="29"/>
  <c r="H22" i="19"/>
  <c r="L22" i="19" s="1"/>
  <c r="H22" i="24"/>
  <c r="H22" i="23"/>
  <c r="N22" i="20"/>
  <c r="N22" i="26"/>
  <c r="N22" i="29"/>
  <c r="H22" i="26"/>
  <c r="Q21" i="29"/>
  <c r="S21" i="29" s="1"/>
  <c r="R21" i="29"/>
  <c r="L21" i="20"/>
  <c r="K21" i="20"/>
  <c r="W20" i="20"/>
  <c r="AC20" i="20"/>
  <c r="M20" i="20"/>
  <c r="X20" i="20" s="1"/>
  <c r="Y20" i="20" s="1"/>
  <c r="Z20" i="20" s="1"/>
  <c r="AA20" i="20" s="1"/>
  <c r="AA18" i="26"/>
  <c r="BF32" i="12"/>
  <c r="Z19" i="25"/>
  <c r="AA18" i="21"/>
  <c r="BF27" i="12"/>
  <c r="W20" i="25"/>
  <c r="L21" i="24"/>
  <c r="K21" i="24"/>
  <c r="M21" i="24" s="1"/>
  <c r="Q21" i="25"/>
  <c r="Q22" i="25" s="1"/>
  <c r="S22" i="25" s="1"/>
  <c r="R21" i="24"/>
  <c r="Q21" i="24"/>
  <c r="S21" i="24" s="1"/>
  <c r="K21" i="22"/>
  <c r="L21" i="22"/>
  <c r="H22" i="25"/>
  <c r="L22" i="25" s="1"/>
  <c r="Z19" i="19"/>
  <c r="G24" i="22"/>
  <c r="A25" i="22"/>
  <c r="O24" i="22"/>
  <c r="P24" i="22" s="1"/>
  <c r="I24" i="22"/>
  <c r="J24" i="22" s="1"/>
  <c r="T24" i="22"/>
  <c r="U24" i="22" s="1"/>
  <c r="V24" i="22"/>
  <c r="R22" i="25"/>
  <c r="X21" i="27"/>
  <c r="A24" i="25"/>
  <c r="I23" i="25"/>
  <c r="J23" i="25" s="1"/>
  <c r="O23" i="25"/>
  <c r="P23" i="25" s="1"/>
  <c r="T23" i="25"/>
  <c r="U23" i="25" s="1"/>
  <c r="G23" i="25"/>
  <c r="V23" i="25"/>
  <c r="T23" i="27"/>
  <c r="U23" i="27" s="1"/>
  <c r="O23" i="27"/>
  <c r="P23" i="27" s="1"/>
  <c r="G23" i="27"/>
  <c r="I23" i="27"/>
  <c r="J23" i="27" s="1"/>
  <c r="A24" i="27"/>
  <c r="H23" i="27"/>
  <c r="V23" i="27"/>
  <c r="O24" i="24"/>
  <c r="P24" i="24" s="1"/>
  <c r="A25" i="24"/>
  <c r="T24" i="24"/>
  <c r="U24" i="24" s="1"/>
  <c r="G24" i="24"/>
  <c r="I24" i="24"/>
  <c r="J24" i="24" s="1"/>
  <c r="V24" i="24"/>
  <c r="U24" i="23"/>
  <c r="U22" i="27"/>
  <c r="I24" i="26"/>
  <c r="J24" i="26" s="1"/>
  <c r="G24" i="26"/>
  <c r="T24" i="26"/>
  <c r="U24" i="26" s="1"/>
  <c r="O24" i="26"/>
  <c r="P24" i="26" s="1"/>
  <c r="A25" i="26"/>
  <c r="V24" i="26"/>
  <c r="A25" i="20"/>
  <c r="T24" i="20"/>
  <c r="U24" i="20" s="1"/>
  <c r="G24" i="20"/>
  <c r="I24" i="20"/>
  <c r="J24" i="20" s="1"/>
  <c r="O24" i="20"/>
  <c r="P24" i="20" s="1"/>
  <c r="V24" i="20"/>
  <c r="U23" i="19"/>
  <c r="W21" i="27"/>
  <c r="AC21" i="27"/>
  <c r="R22" i="27"/>
  <c r="Q22" i="27"/>
  <c r="S22" i="27" s="1"/>
  <c r="G25" i="21"/>
  <c r="O25" i="21"/>
  <c r="P25" i="21" s="1"/>
  <c r="I25" i="21"/>
  <c r="J25" i="21" s="1"/>
  <c r="A26" i="21"/>
  <c r="T25" i="21"/>
  <c r="U25" i="21" s="1"/>
  <c r="V25" i="21"/>
  <c r="M21" i="19"/>
  <c r="K22" i="19"/>
  <c r="W21" i="19"/>
  <c r="A25" i="19"/>
  <c r="O24" i="19"/>
  <c r="P24" i="19" s="1"/>
  <c r="T24" i="19"/>
  <c r="U24" i="19" s="1"/>
  <c r="G24" i="19"/>
  <c r="I24" i="19"/>
  <c r="J24" i="19" s="1"/>
  <c r="V24" i="19"/>
  <c r="G25" i="23"/>
  <c r="I25" i="23"/>
  <c r="J25" i="23" s="1"/>
  <c r="T25" i="23"/>
  <c r="U25" i="23" s="1"/>
  <c r="A26" i="23"/>
  <c r="O25" i="23"/>
  <c r="P25" i="23" s="1"/>
  <c r="V25" i="23"/>
  <c r="L22" i="27"/>
  <c r="K22" i="27"/>
  <c r="M22" i="27" s="1"/>
  <c r="U22" i="17"/>
  <c r="AA20" i="27" l="1"/>
  <c r="Z20" i="22"/>
  <c r="BH28" i="12" s="1"/>
  <c r="Z20" i="23"/>
  <c r="BH29" i="12" s="1"/>
  <c r="Z20" i="26"/>
  <c r="BH32" i="12" s="1"/>
  <c r="Z20" i="19"/>
  <c r="BH25" i="12" s="1"/>
  <c r="Z20" i="21"/>
  <c r="BH27" i="12" s="1"/>
  <c r="Z20" i="25"/>
  <c r="BH31" i="12" s="1"/>
  <c r="AA19" i="26"/>
  <c r="H23" i="25"/>
  <c r="L23" i="25" s="1"/>
  <c r="N23" i="27"/>
  <c r="AA19" i="20"/>
  <c r="BH26" i="12"/>
  <c r="X21" i="19"/>
  <c r="Y21" i="19" s="1"/>
  <c r="AA19" i="22"/>
  <c r="AC21" i="19"/>
  <c r="AA20" i="21"/>
  <c r="R22" i="26"/>
  <c r="Q22" i="26"/>
  <c r="S22" i="26" s="1"/>
  <c r="R22" i="24"/>
  <c r="Q22" i="24"/>
  <c r="S22" i="24" s="1"/>
  <c r="AA19" i="21"/>
  <c r="BG27" i="12"/>
  <c r="K22" i="25"/>
  <c r="M22" i="25" s="1"/>
  <c r="X22" i="25" s="1"/>
  <c r="M21" i="20"/>
  <c r="X21" i="20" s="1"/>
  <c r="Y21" i="20" s="1"/>
  <c r="W21" i="20"/>
  <c r="AC21" i="20"/>
  <c r="R22" i="20"/>
  <c r="Q22" i="20"/>
  <c r="S22" i="20" s="1"/>
  <c r="K22" i="22"/>
  <c r="L22" i="22"/>
  <c r="BG29" i="12"/>
  <c r="AA19" i="23"/>
  <c r="AA20" i="23" s="1"/>
  <c r="M21" i="21"/>
  <c r="X21" i="21" s="1"/>
  <c r="Y21" i="21" s="1"/>
  <c r="AC21" i="21"/>
  <c r="W21" i="21"/>
  <c r="R22" i="19"/>
  <c r="Q22" i="19"/>
  <c r="S22" i="19" s="1"/>
  <c r="W21" i="29"/>
  <c r="M21" i="29"/>
  <c r="X21" i="29" s="1"/>
  <c r="Y21" i="29" s="1"/>
  <c r="AC21" i="29"/>
  <c r="X21" i="24"/>
  <c r="Y21" i="24" s="1"/>
  <c r="AC21" i="24"/>
  <c r="W21" i="24"/>
  <c r="L22" i="29"/>
  <c r="K22" i="29"/>
  <c r="L22" i="21"/>
  <c r="K22" i="21"/>
  <c r="W21" i="26"/>
  <c r="AC21" i="26"/>
  <c r="M21" i="26"/>
  <c r="X21" i="26" s="1"/>
  <c r="Y21" i="26" s="1"/>
  <c r="Q22" i="23"/>
  <c r="S22" i="23" s="1"/>
  <c r="S21" i="23"/>
  <c r="AC21" i="23"/>
  <c r="W21" i="23"/>
  <c r="S21" i="25"/>
  <c r="X21" i="25" s="1"/>
  <c r="Y21" i="25" s="1"/>
  <c r="AC21" i="25"/>
  <c r="L22" i="23"/>
  <c r="K22" i="23"/>
  <c r="M22" i="23" s="1"/>
  <c r="AA19" i="19"/>
  <c r="BG25" i="12"/>
  <c r="R22" i="21"/>
  <c r="Q22" i="21"/>
  <c r="S22" i="21" s="1"/>
  <c r="AA20" i="22"/>
  <c r="L22" i="26"/>
  <c r="K22" i="26"/>
  <c r="L22" i="20"/>
  <c r="K22" i="20"/>
  <c r="Y20" i="24"/>
  <c r="Z20" i="24" s="1"/>
  <c r="N23" i="21"/>
  <c r="N23" i="25"/>
  <c r="R23" i="25" s="1"/>
  <c r="N23" i="22"/>
  <c r="N23" i="26"/>
  <c r="H23" i="20"/>
  <c r="H23" i="26"/>
  <c r="H23" i="19"/>
  <c r="L23" i="19" s="1"/>
  <c r="H23" i="21"/>
  <c r="N23" i="29"/>
  <c r="H23" i="23"/>
  <c r="H23" i="24"/>
  <c r="N23" i="24"/>
  <c r="H23" i="22"/>
  <c r="N23" i="19"/>
  <c r="N23" i="23"/>
  <c r="N23" i="20"/>
  <c r="Z24" i="29"/>
  <c r="V24" i="29"/>
  <c r="A25" i="29"/>
  <c r="G24" i="29"/>
  <c r="AA24" i="29"/>
  <c r="T24" i="29"/>
  <c r="U24" i="29" s="1"/>
  <c r="O24" i="29"/>
  <c r="P24" i="29" s="1"/>
  <c r="R16" i="1"/>
  <c r="S16" i="1" s="1"/>
  <c r="I24" i="29"/>
  <c r="J24" i="29" s="1"/>
  <c r="X22" i="27"/>
  <c r="Y22" i="27" s="1"/>
  <c r="BG31" i="12"/>
  <c r="AA19" i="25"/>
  <c r="L22" i="24"/>
  <c r="K22" i="24"/>
  <c r="N24" i="25"/>
  <c r="R24" i="25" s="1"/>
  <c r="M21" i="22"/>
  <c r="X21" i="22" s="1"/>
  <c r="Y21" i="22" s="1"/>
  <c r="W21" i="22"/>
  <c r="AC21" i="22"/>
  <c r="R22" i="29"/>
  <c r="Q22" i="29"/>
  <c r="S22" i="29" s="1"/>
  <c r="Q22" i="22"/>
  <c r="S22" i="22" s="1"/>
  <c r="R22" i="22"/>
  <c r="W21" i="25"/>
  <c r="AA19" i="24"/>
  <c r="BG30" i="12"/>
  <c r="M21" i="23"/>
  <c r="H24" i="25"/>
  <c r="G25" i="22"/>
  <c r="A26" i="22"/>
  <c r="T25" i="22"/>
  <c r="U25" i="22" s="1"/>
  <c r="I25" i="22"/>
  <c r="J25" i="22" s="1"/>
  <c r="O25" i="22"/>
  <c r="P25" i="22" s="1"/>
  <c r="V25" i="22"/>
  <c r="Y21" i="27"/>
  <c r="I24" i="25"/>
  <c r="J24" i="25" s="1"/>
  <c r="A25" i="25"/>
  <c r="T24" i="25"/>
  <c r="U24" i="25" s="1"/>
  <c r="G24" i="25"/>
  <c r="V24" i="25"/>
  <c r="O24" i="25"/>
  <c r="P24" i="25" s="1"/>
  <c r="L24" i="25"/>
  <c r="G26" i="23"/>
  <c r="I26" i="23"/>
  <c r="J26" i="23" s="1"/>
  <c r="O26" i="23"/>
  <c r="P26" i="23" s="1"/>
  <c r="T26" i="23"/>
  <c r="U26" i="23" s="1"/>
  <c r="A27" i="23"/>
  <c r="V26" i="23"/>
  <c r="A26" i="19"/>
  <c r="G25" i="19"/>
  <c r="T25" i="19"/>
  <c r="U25" i="19" s="1"/>
  <c r="I25" i="19"/>
  <c r="J25" i="19" s="1"/>
  <c r="O25" i="19"/>
  <c r="P25" i="19" s="1"/>
  <c r="V25" i="19"/>
  <c r="R23" i="27"/>
  <c r="Q23" i="27"/>
  <c r="S23" i="27" s="1"/>
  <c r="O26" i="21"/>
  <c r="P26" i="21" s="1"/>
  <c r="A27" i="21"/>
  <c r="G26" i="21"/>
  <c r="T26" i="21"/>
  <c r="U26" i="21" s="1"/>
  <c r="I26" i="21"/>
  <c r="J26" i="21" s="1"/>
  <c r="V26" i="21"/>
  <c r="I25" i="26"/>
  <c r="J25" i="26" s="1"/>
  <c r="O25" i="26"/>
  <c r="P25" i="26" s="1"/>
  <c r="A26" i="26"/>
  <c r="G25" i="26"/>
  <c r="T25" i="26"/>
  <c r="U25" i="26" s="1"/>
  <c r="V25" i="26"/>
  <c r="M22" i="19"/>
  <c r="AC22" i="19"/>
  <c r="A26" i="24"/>
  <c r="T25" i="24"/>
  <c r="U25" i="24" s="1"/>
  <c r="G25" i="24"/>
  <c r="O25" i="24"/>
  <c r="P25" i="24" s="1"/>
  <c r="I25" i="24"/>
  <c r="J25" i="24" s="1"/>
  <c r="V25" i="24"/>
  <c r="T25" i="20"/>
  <c r="U25" i="20" s="1"/>
  <c r="G25" i="20"/>
  <c r="A26" i="20"/>
  <c r="I25" i="20"/>
  <c r="J25" i="20" s="1"/>
  <c r="O25" i="20"/>
  <c r="P25" i="20" s="1"/>
  <c r="V25" i="20"/>
  <c r="L23" i="27"/>
  <c r="K23" i="27"/>
  <c r="M23" i="27" s="1"/>
  <c r="W22" i="27"/>
  <c r="AC22" i="27"/>
  <c r="G24" i="27"/>
  <c r="H24" i="27"/>
  <c r="O24" i="27"/>
  <c r="P24" i="27" s="1"/>
  <c r="T24" i="27"/>
  <c r="U24" i="27" s="1"/>
  <c r="N24" i="27"/>
  <c r="A25" i="27"/>
  <c r="I24" i="27"/>
  <c r="J24" i="27" s="1"/>
  <c r="V24" i="27"/>
  <c r="U23" i="17"/>
  <c r="AA20" i="26" l="1"/>
  <c r="AA20" i="19"/>
  <c r="AA20" i="25"/>
  <c r="W22" i="19"/>
  <c r="X22" i="23"/>
  <c r="AC22" i="25"/>
  <c r="X22" i="19"/>
  <c r="Y22" i="19" s="1"/>
  <c r="Y22" i="25"/>
  <c r="X21" i="23"/>
  <c r="L23" i="23"/>
  <c r="K23" i="23"/>
  <c r="M23" i="23" s="1"/>
  <c r="H24" i="21"/>
  <c r="H24" i="29"/>
  <c r="L24" i="29" s="1"/>
  <c r="H24" i="23"/>
  <c r="N24" i="29"/>
  <c r="N24" i="26"/>
  <c r="N24" i="21"/>
  <c r="H24" i="19"/>
  <c r="N24" i="19"/>
  <c r="N24" i="23"/>
  <c r="R24" i="23" s="1"/>
  <c r="N24" i="20"/>
  <c r="N24" i="22"/>
  <c r="N24" i="24"/>
  <c r="H24" i="26"/>
  <c r="H24" i="20"/>
  <c r="H24" i="22"/>
  <c r="H24" i="24"/>
  <c r="R23" i="29"/>
  <c r="Q23" i="29"/>
  <c r="S23" i="29" s="1"/>
  <c r="R23" i="21"/>
  <c r="Q23" i="21"/>
  <c r="S23" i="21" s="1"/>
  <c r="W22" i="21"/>
  <c r="AC22" i="21"/>
  <c r="M22" i="21"/>
  <c r="X22" i="21" s="1"/>
  <c r="Y22" i="21" s="1"/>
  <c r="Z21" i="26"/>
  <c r="Z21" i="24"/>
  <c r="Z21" i="20"/>
  <c r="Z21" i="21"/>
  <c r="Z21" i="22"/>
  <c r="W22" i="25"/>
  <c r="AA20" i="24"/>
  <c r="BH30" i="12"/>
  <c r="M22" i="29"/>
  <c r="X22" i="29" s="1"/>
  <c r="Y22" i="29" s="1"/>
  <c r="Z22" i="27" s="1"/>
  <c r="BJ33" i="12" s="1"/>
  <c r="K23" i="29"/>
  <c r="AC22" i="29"/>
  <c r="W22" i="29"/>
  <c r="K23" i="19"/>
  <c r="R23" i="19"/>
  <c r="Q23" i="19"/>
  <c r="S23" i="19" s="1"/>
  <c r="K23" i="26"/>
  <c r="L23" i="26"/>
  <c r="AC22" i="20"/>
  <c r="W22" i="20"/>
  <c r="M22" i="20"/>
  <c r="X22" i="20" s="1"/>
  <c r="Y22" i="20" s="1"/>
  <c r="M22" i="22"/>
  <c r="X22" i="22" s="1"/>
  <c r="Y22" i="22" s="1"/>
  <c r="AC22" i="22"/>
  <c r="W22" i="22"/>
  <c r="Z21" i="27"/>
  <c r="BI33" i="12" s="1"/>
  <c r="L23" i="22"/>
  <c r="K23" i="22"/>
  <c r="L23" i="20"/>
  <c r="K23" i="20"/>
  <c r="AC22" i="23"/>
  <c r="W22" i="23"/>
  <c r="R23" i="20"/>
  <c r="Q23" i="20"/>
  <c r="S23" i="20" s="1"/>
  <c r="Z21" i="19"/>
  <c r="Z21" i="25"/>
  <c r="T25" i="29"/>
  <c r="U25" i="29" s="1"/>
  <c r="O25" i="29"/>
  <c r="P25" i="29" s="1"/>
  <c r="AA25" i="29"/>
  <c r="R17" i="1"/>
  <c r="S17" i="1" s="1"/>
  <c r="N25" i="25" s="1"/>
  <c r="R25" i="25" s="1"/>
  <c r="A26" i="29"/>
  <c r="V25" i="29"/>
  <c r="I25" i="29"/>
  <c r="J25" i="29" s="1"/>
  <c r="G25" i="29"/>
  <c r="Z25" i="29"/>
  <c r="R23" i="24"/>
  <c r="Q23" i="24"/>
  <c r="S23" i="24" s="1"/>
  <c r="R23" i="26"/>
  <c r="Q23" i="26"/>
  <c r="S23" i="26" s="1"/>
  <c r="M22" i="26"/>
  <c r="X22" i="26" s="1"/>
  <c r="Y22" i="26" s="1"/>
  <c r="W22" i="26"/>
  <c r="AC22" i="26"/>
  <c r="M22" i="24"/>
  <c r="X22" i="24" s="1"/>
  <c r="Y22" i="24" s="1"/>
  <c r="AC22" i="24"/>
  <c r="W22" i="24"/>
  <c r="L23" i="21"/>
  <c r="K23" i="21"/>
  <c r="Q23" i="23"/>
  <c r="R23" i="23"/>
  <c r="Q23" i="25"/>
  <c r="S23" i="25" s="1"/>
  <c r="L23" i="24"/>
  <c r="K23" i="24"/>
  <c r="R23" i="22"/>
  <c r="Q23" i="22"/>
  <c r="S23" i="22" s="1"/>
  <c r="K23" i="25"/>
  <c r="K24" i="25" s="1"/>
  <c r="M24" i="25" s="1"/>
  <c r="O26" i="22"/>
  <c r="P26" i="22" s="1"/>
  <c r="A27" i="22"/>
  <c r="V26" i="22"/>
  <c r="T26" i="22"/>
  <c r="U26" i="22" s="1"/>
  <c r="I26" i="22"/>
  <c r="J26" i="22" s="1"/>
  <c r="G26" i="22"/>
  <c r="X23" i="27"/>
  <c r="Y23" i="27" s="1"/>
  <c r="A26" i="25"/>
  <c r="O25" i="25"/>
  <c r="P25" i="25" s="1"/>
  <c r="G25" i="25"/>
  <c r="T25" i="25"/>
  <c r="U25" i="25" s="1"/>
  <c r="I25" i="25"/>
  <c r="J25" i="25" s="1"/>
  <c r="V25" i="25"/>
  <c r="H25" i="25"/>
  <c r="L25" i="25" s="1"/>
  <c r="I27" i="23"/>
  <c r="J27" i="23" s="1"/>
  <c r="O27" i="23"/>
  <c r="P27" i="23" s="1"/>
  <c r="T27" i="23"/>
  <c r="U27" i="23" s="1"/>
  <c r="A28" i="23"/>
  <c r="G27" i="23"/>
  <c r="V27" i="23"/>
  <c r="T25" i="27"/>
  <c r="U25" i="27" s="1"/>
  <c r="H25" i="27"/>
  <c r="A26" i="27"/>
  <c r="I25" i="27"/>
  <c r="J25" i="27" s="1"/>
  <c r="O25" i="27"/>
  <c r="P25" i="27" s="1"/>
  <c r="G25" i="27"/>
  <c r="N25" i="27"/>
  <c r="V25" i="27"/>
  <c r="G26" i="24"/>
  <c r="A27" i="24"/>
  <c r="O26" i="24"/>
  <c r="P26" i="24" s="1"/>
  <c r="T26" i="24"/>
  <c r="U26" i="24" s="1"/>
  <c r="I26" i="24"/>
  <c r="J26" i="24" s="1"/>
  <c r="V26" i="24"/>
  <c r="G27" i="21"/>
  <c r="A28" i="21"/>
  <c r="T27" i="21"/>
  <c r="U27" i="21" s="1"/>
  <c r="I27" i="21"/>
  <c r="J27" i="21" s="1"/>
  <c r="O27" i="21"/>
  <c r="P27" i="21" s="1"/>
  <c r="V27" i="21"/>
  <c r="T26" i="20"/>
  <c r="U26" i="20" s="1"/>
  <c r="G26" i="20"/>
  <c r="A27" i="20"/>
  <c r="O26" i="20"/>
  <c r="P26" i="20" s="1"/>
  <c r="I26" i="20"/>
  <c r="J26" i="20" s="1"/>
  <c r="V26" i="20"/>
  <c r="L24" i="27"/>
  <c r="K24" i="27"/>
  <c r="T26" i="19"/>
  <c r="U26" i="19" s="1"/>
  <c r="G26" i="19"/>
  <c r="I26" i="19"/>
  <c r="J26" i="19" s="1"/>
  <c r="O26" i="19"/>
  <c r="P26" i="19" s="1"/>
  <c r="A27" i="19"/>
  <c r="V26" i="19"/>
  <c r="AC23" i="27"/>
  <c r="W23" i="27"/>
  <c r="R24" i="27"/>
  <c r="Q24" i="27"/>
  <c r="S24" i="27" s="1"/>
  <c r="O26" i="26"/>
  <c r="P26" i="26" s="1"/>
  <c r="A27" i="26"/>
  <c r="T26" i="26"/>
  <c r="U26" i="26" s="1"/>
  <c r="I26" i="26"/>
  <c r="J26" i="26" s="1"/>
  <c r="G26" i="26"/>
  <c r="V26" i="26"/>
  <c r="U24" i="17"/>
  <c r="Y22" i="23" l="1"/>
  <c r="Z22" i="24"/>
  <c r="BJ30" i="12" s="1"/>
  <c r="Z22" i="21"/>
  <c r="AA22" i="21" s="1"/>
  <c r="Z22" i="19"/>
  <c r="BJ25" i="12" s="1"/>
  <c r="Z22" i="26"/>
  <c r="BJ32" i="12" s="1"/>
  <c r="Y21" i="23"/>
  <c r="Z21" i="23" s="1"/>
  <c r="BI29" i="12" s="1"/>
  <c r="AA21" i="27"/>
  <c r="AA22" i="27" s="1"/>
  <c r="Z22" i="20"/>
  <c r="BJ26" i="12" s="1"/>
  <c r="M23" i="24"/>
  <c r="X23" i="24" s="1"/>
  <c r="Y23" i="24" s="1"/>
  <c r="AC23" i="24"/>
  <c r="W23" i="24"/>
  <c r="K24" i="29"/>
  <c r="AC23" i="29"/>
  <c r="W23" i="29"/>
  <c r="M23" i="29"/>
  <c r="X23" i="29" s="1"/>
  <c r="BI26" i="12"/>
  <c r="AA21" i="20"/>
  <c r="R24" i="22"/>
  <c r="Q24" i="22"/>
  <c r="S24" i="22" s="1"/>
  <c r="L24" i="23"/>
  <c r="AC23" i="26"/>
  <c r="W23" i="26"/>
  <c r="M23" i="26"/>
  <c r="X23" i="26" s="1"/>
  <c r="Y23" i="26" s="1"/>
  <c r="Z22" i="23"/>
  <c r="BJ29" i="12" s="1"/>
  <c r="Z22" i="22"/>
  <c r="AA21" i="24"/>
  <c r="AA22" i="24" s="1"/>
  <c r="BI30" i="12"/>
  <c r="R24" i="20"/>
  <c r="Q24" i="20"/>
  <c r="S24" i="20" s="1"/>
  <c r="L24" i="21"/>
  <c r="K24" i="21"/>
  <c r="R24" i="19"/>
  <c r="Q24" i="19"/>
  <c r="S24" i="19" s="1"/>
  <c r="AC23" i="25"/>
  <c r="M23" i="25"/>
  <c r="X23" i="25" s="1"/>
  <c r="Y23" i="25" s="1"/>
  <c r="BI31" i="12"/>
  <c r="AA21" i="25"/>
  <c r="L24" i="22"/>
  <c r="K24" i="22"/>
  <c r="K24" i="23"/>
  <c r="M24" i="23" s="1"/>
  <c r="AC23" i="23"/>
  <c r="W23" i="23"/>
  <c r="M23" i="22"/>
  <c r="X23" i="22" s="1"/>
  <c r="Y23" i="22" s="1"/>
  <c r="W23" i="22"/>
  <c r="AC23" i="22"/>
  <c r="AC23" i="19"/>
  <c r="W23" i="19"/>
  <c r="M23" i="19"/>
  <c r="X23" i="19" s="1"/>
  <c r="Y23" i="19" s="1"/>
  <c r="BI28" i="12"/>
  <c r="AA21" i="22"/>
  <c r="L24" i="20"/>
  <c r="K24" i="20"/>
  <c r="R24" i="21"/>
  <c r="Q24" i="21"/>
  <c r="M23" i="20"/>
  <c r="X23" i="20" s="1"/>
  <c r="Y23" i="20" s="1"/>
  <c r="W23" i="20"/>
  <c r="AC23" i="20"/>
  <c r="L24" i="24"/>
  <c r="K24" i="24"/>
  <c r="Q24" i="23"/>
  <c r="S24" i="23" s="1"/>
  <c r="L24" i="19"/>
  <c r="K24" i="19"/>
  <c r="M24" i="19" s="1"/>
  <c r="Q24" i="25"/>
  <c r="W24" i="25" s="1"/>
  <c r="W23" i="25"/>
  <c r="M23" i="21"/>
  <c r="X23" i="21" s="1"/>
  <c r="Y23" i="21" s="1"/>
  <c r="W23" i="21"/>
  <c r="AC23" i="21"/>
  <c r="O26" i="29"/>
  <c r="P26" i="29" s="1"/>
  <c r="Z26" i="29"/>
  <c r="I26" i="29"/>
  <c r="J26" i="29" s="1"/>
  <c r="V26" i="29"/>
  <c r="AA26" i="29"/>
  <c r="T26" i="29"/>
  <c r="U26" i="29" s="1"/>
  <c r="R18" i="1"/>
  <c r="S18" i="1" s="1"/>
  <c r="G26" i="29"/>
  <c r="A27" i="29"/>
  <c r="AA21" i="19"/>
  <c r="AA22" i="19" s="1"/>
  <c r="BI25" i="12"/>
  <c r="K24" i="26"/>
  <c r="L24" i="26"/>
  <c r="R24" i="26"/>
  <c r="Q24" i="26"/>
  <c r="S24" i="26" s="1"/>
  <c r="S23" i="23"/>
  <c r="X23" i="23" s="1"/>
  <c r="AA21" i="26"/>
  <c r="BI32" i="12"/>
  <c r="H25" i="29"/>
  <c r="N25" i="26"/>
  <c r="H25" i="23"/>
  <c r="N25" i="29"/>
  <c r="N25" i="19"/>
  <c r="H25" i="19"/>
  <c r="H25" i="26"/>
  <c r="H25" i="22"/>
  <c r="N25" i="24"/>
  <c r="N25" i="20"/>
  <c r="H25" i="24"/>
  <c r="N25" i="21"/>
  <c r="H25" i="20"/>
  <c r="H25" i="21"/>
  <c r="N25" i="22"/>
  <c r="N25" i="23"/>
  <c r="AA21" i="21"/>
  <c r="BI27" i="12"/>
  <c r="R24" i="24"/>
  <c r="Q24" i="24"/>
  <c r="S24" i="24" s="1"/>
  <c r="R24" i="29"/>
  <c r="Q24" i="29"/>
  <c r="S24" i="29" s="1"/>
  <c r="Z22" i="25"/>
  <c r="H26" i="25"/>
  <c r="L26" i="25" s="1"/>
  <c r="A28" i="22"/>
  <c r="O27" i="22"/>
  <c r="P27" i="22" s="1"/>
  <c r="V27" i="22"/>
  <c r="I27" i="22"/>
  <c r="J27" i="22" s="1"/>
  <c r="G27" i="22"/>
  <c r="T27" i="22"/>
  <c r="U27" i="22" s="1"/>
  <c r="K25" i="25"/>
  <c r="S24" i="25"/>
  <c r="X24" i="25" s="1"/>
  <c r="I26" i="25"/>
  <c r="J26" i="25" s="1"/>
  <c r="O26" i="25"/>
  <c r="P26" i="25" s="1"/>
  <c r="A27" i="25"/>
  <c r="V26" i="25"/>
  <c r="T26" i="25"/>
  <c r="U26" i="25" s="1"/>
  <c r="G26" i="25"/>
  <c r="O26" i="27"/>
  <c r="P26" i="27" s="1"/>
  <c r="T26" i="27"/>
  <c r="U26" i="27" s="1"/>
  <c r="I26" i="27"/>
  <c r="J26" i="27" s="1"/>
  <c r="N26" i="27"/>
  <c r="H26" i="27"/>
  <c r="G26" i="27"/>
  <c r="A27" i="27"/>
  <c r="V26" i="27"/>
  <c r="I28" i="23"/>
  <c r="J28" i="23" s="1"/>
  <c r="A29" i="23"/>
  <c r="G28" i="23"/>
  <c r="O28" i="23"/>
  <c r="P28" i="23" s="1"/>
  <c r="T28" i="23"/>
  <c r="U28" i="23" s="1"/>
  <c r="V28" i="23"/>
  <c r="L25" i="27"/>
  <c r="K25" i="27"/>
  <c r="M25" i="27" s="1"/>
  <c r="A28" i="24"/>
  <c r="G27" i="24"/>
  <c r="T27" i="24"/>
  <c r="U27" i="24" s="1"/>
  <c r="O27" i="24"/>
  <c r="P27" i="24" s="1"/>
  <c r="I27" i="24"/>
  <c r="J27" i="24" s="1"/>
  <c r="V27" i="24"/>
  <c r="A28" i="26"/>
  <c r="O27" i="26"/>
  <c r="P27" i="26" s="1"/>
  <c r="G27" i="26"/>
  <c r="T27" i="26"/>
  <c r="U27" i="26" s="1"/>
  <c r="I27" i="26"/>
  <c r="J27" i="26" s="1"/>
  <c r="V27" i="26"/>
  <c r="I27" i="19"/>
  <c r="J27" i="19" s="1"/>
  <c r="G27" i="19"/>
  <c r="T27" i="19"/>
  <c r="U27" i="19" s="1"/>
  <c r="O27" i="19"/>
  <c r="P27" i="19" s="1"/>
  <c r="A28" i="19"/>
  <c r="V27" i="19"/>
  <c r="W24" i="27"/>
  <c r="AC24" i="27"/>
  <c r="A29" i="21"/>
  <c r="I28" i="21"/>
  <c r="J28" i="21" s="1"/>
  <c r="G28" i="21"/>
  <c r="T28" i="21"/>
  <c r="U28" i="21" s="1"/>
  <c r="O28" i="21"/>
  <c r="P28" i="21" s="1"/>
  <c r="V28" i="21"/>
  <c r="G27" i="20"/>
  <c r="A28" i="20"/>
  <c r="T27" i="20"/>
  <c r="U27" i="20" s="1"/>
  <c r="O27" i="20"/>
  <c r="P27" i="20" s="1"/>
  <c r="I27" i="20"/>
  <c r="J27" i="20" s="1"/>
  <c r="V27" i="20"/>
  <c r="M24" i="27"/>
  <c r="X24" i="27" s="1"/>
  <c r="Y24" i="27" s="1"/>
  <c r="R25" i="27"/>
  <c r="Q25" i="27"/>
  <c r="S25" i="27" s="1"/>
  <c r="U25" i="17"/>
  <c r="BJ27" i="12" l="1"/>
  <c r="AA22" i="20"/>
  <c r="AA21" i="23"/>
  <c r="AA22" i="23" s="1"/>
  <c r="X24" i="23"/>
  <c r="Y24" i="23" s="1"/>
  <c r="Y24" i="25"/>
  <c r="AA22" i="26"/>
  <c r="X24" i="19"/>
  <c r="Y24" i="19" s="1"/>
  <c r="AC24" i="25"/>
  <c r="Y23" i="23"/>
  <c r="R25" i="20"/>
  <c r="Q25" i="20"/>
  <c r="S25" i="20" s="1"/>
  <c r="R25" i="21"/>
  <c r="Q25" i="21"/>
  <c r="S25" i="21" s="1"/>
  <c r="R25" i="29"/>
  <c r="Q25" i="29"/>
  <c r="S25" i="29" s="1"/>
  <c r="AC24" i="24"/>
  <c r="W24" i="24"/>
  <c r="W24" i="20"/>
  <c r="M24" i="20"/>
  <c r="X24" i="20" s="1"/>
  <c r="Y24" i="20" s="1"/>
  <c r="AC24" i="20"/>
  <c r="BJ28" i="12"/>
  <c r="AA22" i="22"/>
  <c r="L25" i="24"/>
  <c r="K25" i="24"/>
  <c r="K25" i="23"/>
  <c r="L25" i="23"/>
  <c r="R25" i="26"/>
  <c r="Q25" i="26"/>
  <c r="S25" i="26"/>
  <c r="M24" i="21"/>
  <c r="W24" i="21"/>
  <c r="R25" i="22"/>
  <c r="Q25" i="22"/>
  <c r="K25" i="26"/>
  <c r="L25" i="26"/>
  <c r="T27" i="29"/>
  <c r="U27" i="29" s="1"/>
  <c r="O27" i="29"/>
  <c r="P27" i="29" s="1"/>
  <c r="R19" i="1"/>
  <c r="S19" i="1" s="1"/>
  <c r="N27" i="27" s="1"/>
  <c r="AA27" i="29"/>
  <c r="A28" i="29"/>
  <c r="I27" i="29"/>
  <c r="J27" i="29" s="1"/>
  <c r="Z27" i="29"/>
  <c r="V27" i="29"/>
  <c r="G27" i="29"/>
  <c r="R25" i="24"/>
  <c r="Q25" i="24"/>
  <c r="S25" i="24" s="1"/>
  <c r="Q25" i="25"/>
  <c r="AC25" i="25" s="1"/>
  <c r="BJ31" i="12"/>
  <c r="AA22" i="25"/>
  <c r="R25" i="23"/>
  <c r="Q25" i="23"/>
  <c r="S25" i="23" s="1"/>
  <c r="L25" i="22"/>
  <c r="K25" i="22"/>
  <c r="AC24" i="19"/>
  <c r="W24" i="19"/>
  <c r="Y23" i="29"/>
  <c r="Z23" i="19" s="1"/>
  <c r="K25" i="21"/>
  <c r="L25" i="21"/>
  <c r="L25" i="19"/>
  <c r="K25" i="19"/>
  <c r="AC24" i="21"/>
  <c r="S24" i="21"/>
  <c r="AC24" i="23"/>
  <c r="W24" i="23"/>
  <c r="M24" i="24"/>
  <c r="X24" i="24" s="1"/>
  <c r="Y24" i="24" s="1"/>
  <c r="M24" i="26"/>
  <c r="X24" i="26" s="1"/>
  <c r="Y24" i="26" s="1"/>
  <c r="W24" i="26"/>
  <c r="AC24" i="26"/>
  <c r="L25" i="29"/>
  <c r="K25" i="29"/>
  <c r="K25" i="20"/>
  <c r="L25" i="20"/>
  <c r="R25" i="19"/>
  <c r="Q25" i="19"/>
  <c r="S25" i="19" s="1"/>
  <c r="H26" i="23"/>
  <c r="N26" i="29"/>
  <c r="H26" i="24"/>
  <c r="H26" i="20"/>
  <c r="N26" i="23"/>
  <c r="H26" i="19"/>
  <c r="N26" i="22"/>
  <c r="H26" i="29"/>
  <c r="H26" i="22"/>
  <c r="N26" i="21"/>
  <c r="N26" i="26"/>
  <c r="N26" i="24"/>
  <c r="N26" i="20"/>
  <c r="N26" i="19"/>
  <c r="H26" i="26"/>
  <c r="H26" i="21"/>
  <c r="N26" i="25"/>
  <c r="R26" i="25" s="1"/>
  <c r="AC24" i="22"/>
  <c r="M24" i="22"/>
  <c r="X24" i="22" s="1"/>
  <c r="Y24" i="22" s="1"/>
  <c r="W24" i="22"/>
  <c r="M24" i="29"/>
  <c r="X24" i="29" s="1"/>
  <c r="Y24" i="29" s="1"/>
  <c r="AC24" i="29"/>
  <c r="W24" i="29"/>
  <c r="I28" i="22"/>
  <c r="J28" i="22" s="1"/>
  <c r="G28" i="22"/>
  <c r="O28" i="22"/>
  <c r="P28" i="22" s="1"/>
  <c r="V28" i="22"/>
  <c r="A29" i="22"/>
  <c r="T28" i="22"/>
  <c r="U28" i="22" s="1"/>
  <c r="K26" i="25"/>
  <c r="M26" i="25" s="1"/>
  <c r="M25" i="25"/>
  <c r="G27" i="25"/>
  <c r="V27" i="25"/>
  <c r="I27" i="25"/>
  <c r="J27" i="25" s="1"/>
  <c r="O27" i="25"/>
  <c r="P27" i="25" s="1"/>
  <c r="A28" i="25"/>
  <c r="T27" i="25"/>
  <c r="U27" i="25" s="1"/>
  <c r="X25" i="27"/>
  <c r="Y25" i="27" s="1"/>
  <c r="I29" i="21"/>
  <c r="J29" i="21" s="1"/>
  <c r="G29" i="21"/>
  <c r="T29" i="21"/>
  <c r="U29" i="21" s="1"/>
  <c r="A30" i="21"/>
  <c r="O29" i="21"/>
  <c r="P29" i="21" s="1"/>
  <c r="V29" i="21"/>
  <c r="T28" i="26"/>
  <c r="U28" i="26" s="1"/>
  <c r="G28" i="26"/>
  <c r="I28" i="26"/>
  <c r="J28" i="26" s="1"/>
  <c r="O28" i="26"/>
  <c r="P28" i="26" s="1"/>
  <c r="A29" i="26"/>
  <c r="V28" i="26"/>
  <c r="L26" i="27"/>
  <c r="K26" i="27"/>
  <c r="M26" i="27" s="1"/>
  <c r="AC25" i="27"/>
  <c r="W25" i="27"/>
  <c r="T28" i="20"/>
  <c r="U28" i="20" s="1"/>
  <c r="G28" i="20"/>
  <c r="A29" i="20"/>
  <c r="I28" i="20"/>
  <c r="J28" i="20" s="1"/>
  <c r="O28" i="20"/>
  <c r="P28" i="20" s="1"/>
  <c r="V28" i="20"/>
  <c r="T28" i="19"/>
  <c r="U28" i="19" s="1"/>
  <c r="G28" i="19"/>
  <c r="A29" i="19"/>
  <c r="I28" i="19"/>
  <c r="J28" i="19" s="1"/>
  <c r="O28" i="19"/>
  <c r="P28" i="19" s="1"/>
  <c r="V28" i="19"/>
  <c r="O29" i="23"/>
  <c r="P29" i="23" s="1"/>
  <c r="G29" i="23"/>
  <c r="T29" i="23"/>
  <c r="U29" i="23" s="1"/>
  <c r="I29" i="23"/>
  <c r="J29" i="23" s="1"/>
  <c r="A30" i="23"/>
  <c r="V29" i="23"/>
  <c r="R26" i="27"/>
  <c r="Q26" i="27"/>
  <c r="S26" i="27" s="1"/>
  <c r="I28" i="24"/>
  <c r="J28" i="24" s="1"/>
  <c r="T28" i="24"/>
  <c r="U28" i="24" s="1"/>
  <c r="A29" i="24"/>
  <c r="O28" i="24"/>
  <c r="P28" i="24" s="1"/>
  <c r="G28" i="24"/>
  <c r="V28" i="24"/>
  <c r="O27" i="27"/>
  <c r="P27" i="27" s="1"/>
  <c r="I27" i="27"/>
  <c r="J27" i="27" s="1"/>
  <c r="T27" i="27"/>
  <c r="U27" i="27" s="1"/>
  <c r="G27" i="27"/>
  <c r="H27" i="27"/>
  <c r="A28" i="27"/>
  <c r="V27" i="27"/>
  <c r="U26" i="17"/>
  <c r="Z23" i="25" l="1"/>
  <c r="BK31" i="12" s="1"/>
  <c r="N27" i="25"/>
  <c r="R27" i="25" s="1"/>
  <c r="H27" i="25"/>
  <c r="L27" i="25" s="1"/>
  <c r="Z23" i="23"/>
  <c r="BK29" i="12" s="1"/>
  <c r="X24" i="21"/>
  <c r="Y24" i="21" s="1"/>
  <c r="Z24" i="21" s="1"/>
  <c r="Z24" i="20"/>
  <c r="Z24" i="23"/>
  <c r="Z24" i="25"/>
  <c r="Z24" i="19"/>
  <c r="BL25" i="12" s="1"/>
  <c r="Z24" i="27"/>
  <c r="Z24" i="22"/>
  <c r="R26" i="26"/>
  <c r="Q26" i="26"/>
  <c r="S26" i="26" s="1"/>
  <c r="L26" i="24"/>
  <c r="K26" i="24"/>
  <c r="AC25" i="26"/>
  <c r="M25" i="26"/>
  <c r="X25" i="26" s="1"/>
  <c r="Y25" i="26" s="1"/>
  <c r="W25" i="26"/>
  <c r="R26" i="21"/>
  <c r="Q26" i="21"/>
  <c r="S26" i="21" s="1"/>
  <c r="R26" i="29"/>
  <c r="Q26" i="29"/>
  <c r="Z23" i="24"/>
  <c r="Z23" i="26"/>
  <c r="Z23" i="21"/>
  <c r="Z23" i="22"/>
  <c r="Z23" i="20"/>
  <c r="Z23" i="27"/>
  <c r="G28" i="29"/>
  <c r="AA28" i="29"/>
  <c r="I28" i="29"/>
  <c r="J28" i="29" s="1"/>
  <c r="Z28" i="29"/>
  <c r="O28" i="29"/>
  <c r="P28" i="29" s="1"/>
  <c r="R20" i="1"/>
  <c r="S20" i="1" s="1"/>
  <c r="T28" i="29"/>
  <c r="U28" i="29" s="1"/>
  <c r="A29" i="29"/>
  <c r="V28" i="29"/>
  <c r="AC25" i="22"/>
  <c r="S25" i="22"/>
  <c r="L26" i="22"/>
  <c r="K26" i="22"/>
  <c r="M25" i="29"/>
  <c r="X25" i="29" s="1"/>
  <c r="Y25" i="29" s="1"/>
  <c r="AC25" i="29"/>
  <c r="L26" i="21"/>
  <c r="K26" i="21"/>
  <c r="L26" i="29"/>
  <c r="K26" i="29"/>
  <c r="BK25" i="12"/>
  <c r="AA23" i="19"/>
  <c r="L26" i="26"/>
  <c r="K26" i="26"/>
  <c r="R26" i="22"/>
  <c r="Q26" i="22"/>
  <c r="S26" i="22" s="1"/>
  <c r="M25" i="19"/>
  <c r="X25" i="19" s="1"/>
  <c r="Y25" i="19" s="1"/>
  <c r="AC25" i="19"/>
  <c r="W25" i="19"/>
  <c r="M25" i="22"/>
  <c r="W25" i="22"/>
  <c r="N27" i="29"/>
  <c r="N27" i="21"/>
  <c r="N27" i="19"/>
  <c r="H27" i="22"/>
  <c r="H27" i="23"/>
  <c r="L27" i="23" s="1"/>
  <c r="N27" i="23"/>
  <c r="H27" i="24"/>
  <c r="N27" i="26"/>
  <c r="H27" i="21"/>
  <c r="N27" i="24"/>
  <c r="H27" i="20"/>
  <c r="N27" i="20"/>
  <c r="N27" i="22"/>
  <c r="H27" i="26"/>
  <c r="H27" i="19"/>
  <c r="H27" i="29"/>
  <c r="M25" i="23"/>
  <c r="X25" i="23" s="1"/>
  <c r="Y25" i="23" s="1"/>
  <c r="W25" i="23"/>
  <c r="AC25" i="23"/>
  <c r="L26" i="23"/>
  <c r="K26" i="23"/>
  <c r="Q26" i="25"/>
  <c r="AC26" i="25" s="1"/>
  <c r="R26" i="20"/>
  <c r="Q26" i="20"/>
  <c r="S26" i="20" s="1"/>
  <c r="R26" i="23"/>
  <c r="Q26" i="23"/>
  <c r="S26" i="23" s="1"/>
  <c r="M25" i="20"/>
  <c r="X25" i="20" s="1"/>
  <c r="Y25" i="20" s="1"/>
  <c r="AC25" i="20"/>
  <c r="W25" i="20"/>
  <c r="Z24" i="26"/>
  <c r="W25" i="25"/>
  <c r="R26" i="19"/>
  <c r="Q26" i="19"/>
  <c r="S26" i="19" s="1"/>
  <c r="L26" i="19"/>
  <c r="K26" i="19"/>
  <c r="W25" i="24"/>
  <c r="M25" i="24"/>
  <c r="X25" i="24" s="1"/>
  <c r="Y25" i="24" s="1"/>
  <c r="AC25" i="24"/>
  <c r="S25" i="25"/>
  <c r="X25" i="25" s="1"/>
  <c r="Y25" i="25" s="1"/>
  <c r="R26" i="24"/>
  <c r="Q26" i="24"/>
  <c r="S26" i="24" s="1"/>
  <c r="L26" i="20"/>
  <c r="K26" i="20"/>
  <c r="Z24" i="24"/>
  <c r="M25" i="21"/>
  <c r="X25" i="21" s="1"/>
  <c r="AC25" i="21"/>
  <c r="W25" i="21"/>
  <c r="W25" i="29"/>
  <c r="G29" i="22"/>
  <c r="O29" i="22"/>
  <c r="P29" i="22" s="1"/>
  <c r="A30" i="22"/>
  <c r="V29" i="22"/>
  <c r="T29" i="22"/>
  <c r="U29" i="22" s="1"/>
  <c r="I29" i="22"/>
  <c r="J29" i="22" s="1"/>
  <c r="X26" i="27"/>
  <c r="Y26" i="27" s="1"/>
  <c r="K27" i="25"/>
  <c r="M27" i="25" s="1"/>
  <c r="G28" i="25"/>
  <c r="T28" i="25"/>
  <c r="U28" i="25" s="1"/>
  <c r="A29" i="25"/>
  <c r="I28" i="25"/>
  <c r="J28" i="25" s="1"/>
  <c r="V28" i="25"/>
  <c r="O28" i="25"/>
  <c r="P28" i="25" s="1"/>
  <c r="R27" i="27"/>
  <c r="Q27" i="27"/>
  <c r="S27" i="27" s="1"/>
  <c r="L27" i="27"/>
  <c r="K27" i="27"/>
  <c r="M27" i="27" s="1"/>
  <c r="A31" i="23"/>
  <c r="I30" i="23"/>
  <c r="J30" i="23" s="1"/>
  <c r="O30" i="23"/>
  <c r="P30" i="23" s="1"/>
  <c r="T30" i="23"/>
  <c r="U30" i="23" s="1"/>
  <c r="G30" i="23"/>
  <c r="V30" i="23"/>
  <c r="A30" i="19"/>
  <c r="I29" i="19"/>
  <c r="J29" i="19" s="1"/>
  <c r="G29" i="19"/>
  <c r="O29" i="19"/>
  <c r="P29" i="19" s="1"/>
  <c r="T29" i="19"/>
  <c r="U29" i="19" s="1"/>
  <c r="V29" i="19"/>
  <c r="G28" i="27"/>
  <c r="O28" i="27"/>
  <c r="P28" i="27" s="1"/>
  <c r="T28" i="27"/>
  <c r="U28" i="27" s="1"/>
  <c r="I28" i="27"/>
  <c r="J28" i="27" s="1"/>
  <c r="H28" i="27"/>
  <c r="A29" i="27"/>
  <c r="V28" i="27"/>
  <c r="G29" i="20"/>
  <c r="T29" i="20"/>
  <c r="U29" i="20" s="1"/>
  <c r="A30" i="20"/>
  <c r="I29" i="20"/>
  <c r="J29" i="20" s="1"/>
  <c r="O29" i="20"/>
  <c r="P29" i="20" s="1"/>
  <c r="V29" i="20"/>
  <c r="AC26" i="27"/>
  <c r="W26" i="27"/>
  <c r="T30" i="21"/>
  <c r="U30" i="21" s="1"/>
  <c r="A31" i="21"/>
  <c r="G30" i="21"/>
  <c r="I30" i="21"/>
  <c r="J30" i="21" s="1"/>
  <c r="O30" i="21"/>
  <c r="P30" i="21" s="1"/>
  <c r="V30" i="21"/>
  <c r="T29" i="24"/>
  <c r="U29" i="24" s="1"/>
  <c r="I29" i="24"/>
  <c r="J29" i="24" s="1"/>
  <c r="O29" i="24"/>
  <c r="P29" i="24" s="1"/>
  <c r="A30" i="24"/>
  <c r="G29" i="24"/>
  <c r="V29" i="24"/>
  <c r="A30" i="26"/>
  <c r="O29" i="26"/>
  <c r="P29" i="26" s="1"/>
  <c r="I29" i="26"/>
  <c r="J29" i="26" s="1"/>
  <c r="G29" i="26"/>
  <c r="T29" i="26"/>
  <c r="U29" i="26" s="1"/>
  <c r="V29" i="26"/>
  <c r="U27" i="17"/>
  <c r="AA23" i="25" l="1"/>
  <c r="Z25" i="25"/>
  <c r="BM31" i="12" s="1"/>
  <c r="AA23" i="23"/>
  <c r="AA24" i="23" s="1"/>
  <c r="Y25" i="21"/>
  <c r="Z25" i="21" s="1"/>
  <c r="AC26" i="29"/>
  <c r="Q27" i="25"/>
  <c r="S27" i="25" s="1"/>
  <c r="M26" i="29"/>
  <c r="AA24" i="19"/>
  <c r="W26" i="25"/>
  <c r="S26" i="25"/>
  <c r="X26" i="25" s="1"/>
  <c r="Y26" i="25" s="1"/>
  <c r="X25" i="22"/>
  <c r="Y25" i="22" s="1"/>
  <c r="Z25" i="22" s="1"/>
  <c r="Z25" i="24"/>
  <c r="Z25" i="27"/>
  <c r="BL31" i="12"/>
  <c r="AA24" i="25"/>
  <c r="L27" i="19"/>
  <c r="K27" i="19"/>
  <c r="L27" i="24"/>
  <c r="K27" i="24"/>
  <c r="BL33" i="12"/>
  <c r="BL30" i="12"/>
  <c r="BL32" i="12"/>
  <c r="K27" i="26"/>
  <c r="L27" i="26"/>
  <c r="R27" i="23"/>
  <c r="Q27" i="23"/>
  <c r="R21" i="1"/>
  <c r="S21" i="1" s="1"/>
  <c r="H29" i="25" s="1"/>
  <c r="L29" i="25" s="1"/>
  <c r="G29" i="29"/>
  <c r="O29" i="29"/>
  <c r="P29" i="29" s="1"/>
  <c r="V29" i="29"/>
  <c r="AA29" i="29"/>
  <c r="H29" i="29"/>
  <c r="A30" i="29"/>
  <c r="I29" i="29"/>
  <c r="J29" i="29" s="1"/>
  <c r="T29" i="29"/>
  <c r="U29" i="29" s="1"/>
  <c r="Z29" i="29"/>
  <c r="AA23" i="27"/>
  <c r="AA24" i="27" s="1"/>
  <c r="BK33" i="12"/>
  <c r="W26" i="29"/>
  <c r="S26" i="29"/>
  <c r="AC26" i="24"/>
  <c r="W26" i="24"/>
  <c r="M26" i="24"/>
  <c r="X26" i="24" s="1"/>
  <c r="Y26" i="24" s="1"/>
  <c r="R27" i="22"/>
  <c r="Q27" i="22"/>
  <c r="S27" i="22" s="1"/>
  <c r="W27" i="25"/>
  <c r="R27" i="20"/>
  <c r="Q27" i="20"/>
  <c r="S27" i="20" s="1"/>
  <c r="W26" i="22"/>
  <c r="AC26" i="22"/>
  <c r="N28" i="21"/>
  <c r="H28" i="21"/>
  <c r="H28" i="26"/>
  <c r="N28" i="22"/>
  <c r="H28" i="24"/>
  <c r="N28" i="24"/>
  <c r="H28" i="20"/>
  <c r="N28" i="20"/>
  <c r="N28" i="23"/>
  <c r="N28" i="26"/>
  <c r="N28" i="29"/>
  <c r="H28" i="19"/>
  <c r="H28" i="23"/>
  <c r="H28" i="29"/>
  <c r="N28" i="19"/>
  <c r="H28" i="22"/>
  <c r="BK28" i="12"/>
  <c r="AA23" i="22"/>
  <c r="AA24" i="22" s="1"/>
  <c r="BL27" i="12"/>
  <c r="N28" i="27"/>
  <c r="Q28" i="27" s="1"/>
  <c r="S28" i="27" s="1"/>
  <c r="Z25" i="20"/>
  <c r="L27" i="20"/>
  <c r="K27" i="20"/>
  <c r="R27" i="19"/>
  <c r="Q27" i="19"/>
  <c r="S27" i="19" s="1"/>
  <c r="AA23" i="21"/>
  <c r="AA24" i="21" s="1"/>
  <c r="BK27" i="12"/>
  <c r="BL29" i="12"/>
  <c r="R27" i="24"/>
  <c r="Q27" i="24"/>
  <c r="S27" i="24" s="1"/>
  <c r="R27" i="21"/>
  <c r="Q27" i="21"/>
  <c r="S27" i="21" s="1"/>
  <c r="M26" i="21"/>
  <c r="X26" i="21" s="1"/>
  <c r="Y26" i="21" s="1"/>
  <c r="AC26" i="21"/>
  <c r="W26" i="21"/>
  <c r="AA23" i="26"/>
  <c r="AA24" i="26" s="1"/>
  <c r="BK32" i="12"/>
  <c r="N28" i="25"/>
  <c r="R28" i="25" s="1"/>
  <c r="BL28" i="12"/>
  <c r="AA24" i="20"/>
  <c r="BL26" i="12"/>
  <c r="AC26" i="20"/>
  <c r="W26" i="20"/>
  <c r="M26" i="20"/>
  <c r="X26" i="20" s="1"/>
  <c r="Y26" i="20" s="1"/>
  <c r="K27" i="23"/>
  <c r="AC26" i="23"/>
  <c r="W26" i="23"/>
  <c r="AA23" i="20"/>
  <c r="BK26" i="12"/>
  <c r="Z25" i="19"/>
  <c r="W26" i="19"/>
  <c r="AC26" i="19"/>
  <c r="Z25" i="23"/>
  <c r="L27" i="21"/>
  <c r="K27" i="21"/>
  <c r="M27" i="21" s="1"/>
  <c r="R27" i="29"/>
  <c r="Q27" i="29"/>
  <c r="W26" i="26"/>
  <c r="M26" i="26"/>
  <c r="X26" i="26" s="1"/>
  <c r="Y26" i="26" s="1"/>
  <c r="AC26" i="26"/>
  <c r="AA23" i="24"/>
  <c r="AA24" i="24" s="1"/>
  <c r="BK30" i="12"/>
  <c r="M26" i="23"/>
  <c r="X26" i="23" s="1"/>
  <c r="Y26" i="23" s="1"/>
  <c r="M26" i="19"/>
  <c r="X26" i="19" s="1"/>
  <c r="Y26" i="19" s="1"/>
  <c r="K27" i="22"/>
  <c r="L27" i="22"/>
  <c r="L27" i="29"/>
  <c r="K27" i="29"/>
  <c r="R27" i="26"/>
  <c r="Q27" i="26"/>
  <c r="S27" i="26" s="1"/>
  <c r="Z25" i="26"/>
  <c r="M26" i="22"/>
  <c r="X26" i="22" s="1"/>
  <c r="H28" i="25"/>
  <c r="T30" i="22"/>
  <c r="U30" i="22" s="1"/>
  <c r="O30" i="22"/>
  <c r="P30" i="22" s="1"/>
  <c r="V30" i="22"/>
  <c r="G30" i="22"/>
  <c r="I30" i="22"/>
  <c r="J30" i="22" s="1"/>
  <c r="A31" i="22"/>
  <c r="Q28" i="25"/>
  <c r="S28" i="25" s="1"/>
  <c r="A30" i="25"/>
  <c r="G29" i="25"/>
  <c r="I29" i="25"/>
  <c r="J29" i="25" s="1"/>
  <c r="O29" i="25"/>
  <c r="P29" i="25" s="1"/>
  <c r="T29" i="25"/>
  <c r="U29" i="25" s="1"/>
  <c r="V29" i="25"/>
  <c r="X27" i="25"/>
  <c r="AC27" i="25"/>
  <c r="X27" i="27"/>
  <c r="Y27" i="27" s="1"/>
  <c r="I30" i="26"/>
  <c r="J30" i="26" s="1"/>
  <c r="T30" i="26"/>
  <c r="U30" i="26" s="1"/>
  <c r="O30" i="26"/>
  <c r="P30" i="26" s="1"/>
  <c r="G30" i="26"/>
  <c r="A31" i="26"/>
  <c r="V30" i="26"/>
  <c r="G30" i="20"/>
  <c r="A31" i="20"/>
  <c r="T30" i="20"/>
  <c r="U30" i="20" s="1"/>
  <c r="I30" i="20"/>
  <c r="J30" i="20" s="1"/>
  <c r="O30" i="20"/>
  <c r="P30" i="20" s="1"/>
  <c r="V30" i="20"/>
  <c r="L28" i="27"/>
  <c r="K28" i="27"/>
  <c r="M28" i="27" s="1"/>
  <c r="AC27" i="27"/>
  <c r="W27" i="27"/>
  <c r="G30" i="19"/>
  <c r="I30" i="19"/>
  <c r="J30" i="19" s="1"/>
  <c r="T30" i="19"/>
  <c r="U30" i="19" s="1"/>
  <c r="A31" i="19"/>
  <c r="O30" i="19"/>
  <c r="P30" i="19" s="1"/>
  <c r="V30" i="19"/>
  <c r="O30" i="24"/>
  <c r="P30" i="24" s="1"/>
  <c r="T30" i="24"/>
  <c r="U30" i="24" s="1"/>
  <c r="G30" i="24"/>
  <c r="I30" i="24"/>
  <c r="J30" i="24" s="1"/>
  <c r="A31" i="24"/>
  <c r="V30" i="24"/>
  <c r="I31" i="21"/>
  <c r="J31" i="21" s="1"/>
  <c r="A32" i="21"/>
  <c r="T31" i="21"/>
  <c r="U31" i="21" s="1"/>
  <c r="G31" i="21"/>
  <c r="O31" i="21"/>
  <c r="P31" i="21" s="1"/>
  <c r="V31" i="21"/>
  <c r="R28" i="27"/>
  <c r="I29" i="27"/>
  <c r="J29" i="27" s="1"/>
  <c r="O29" i="27"/>
  <c r="P29" i="27" s="1"/>
  <c r="A30" i="27"/>
  <c r="T29" i="27"/>
  <c r="U29" i="27" s="1"/>
  <c r="G29" i="27"/>
  <c r="H29" i="27"/>
  <c r="N29" i="27"/>
  <c r="V29" i="27"/>
  <c r="G31" i="23"/>
  <c r="O31" i="23"/>
  <c r="P31" i="23" s="1"/>
  <c r="I31" i="23"/>
  <c r="J31" i="23" s="1"/>
  <c r="T31" i="23"/>
  <c r="U31" i="23" s="1"/>
  <c r="A32" i="23"/>
  <c r="V31" i="23"/>
  <c r="U28" i="17"/>
  <c r="Y26" i="22" l="1"/>
  <c r="AA25" i="25"/>
  <c r="N29" i="29"/>
  <c r="X26" i="29"/>
  <c r="Y26" i="29" s="1"/>
  <c r="Z26" i="26" s="1"/>
  <c r="Y27" i="25"/>
  <c r="R28" i="29"/>
  <c r="Q28" i="29"/>
  <c r="S28" i="29" s="1"/>
  <c r="BM32" i="12"/>
  <c r="AA25" i="26"/>
  <c r="AA25" i="19"/>
  <c r="BM25" i="12"/>
  <c r="L28" i="23"/>
  <c r="K28" i="23"/>
  <c r="L28" i="24"/>
  <c r="K28" i="24"/>
  <c r="AA30" i="29"/>
  <c r="Z30" i="29"/>
  <c r="A31" i="29"/>
  <c r="G30" i="29"/>
  <c r="I30" i="29"/>
  <c r="J30" i="29" s="1"/>
  <c r="O30" i="29"/>
  <c r="P30" i="29" s="1"/>
  <c r="T30" i="29"/>
  <c r="U30" i="29" s="1"/>
  <c r="V30" i="29"/>
  <c r="R22" i="1"/>
  <c r="S22" i="1" s="1"/>
  <c r="N30" i="27" s="1"/>
  <c r="AC27" i="23"/>
  <c r="S27" i="23"/>
  <c r="K28" i="21"/>
  <c r="AC27" i="21"/>
  <c r="W27" i="21"/>
  <c r="L28" i="19"/>
  <c r="K28" i="19"/>
  <c r="R28" i="22"/>
  <c r="Q28" i="22"/>
  <c r="S28" i="22" s="1"/>
  <c r="L29" i="29"/>
  <c r="AA25" i="27"/>
  <c r="BM33" i="12"/>
  <c r="L28" i="21"/>
  <c r="AA25" i="21"/>
  <c r="BM27" i="12"/>
  <c r="R28" i="23"/>
  <c r="Q28" i="23"/>
  <c r="S28" i="23" s="1"/>
  <c r="BM30" i="12"/>
  <c r="AA25" i="24"/>
  <c r="M27" i="23"/>
  <c r="W27" i="23"/>
  <c r="AC27" i="20"/>
  <c r="M27" i="20"/>
  <c r="X27" i="20" s="1"/>
  <c r="Y27" i="20" s="1"/>
  <c r="W27" i="20"/>
  <c r="K28" i="22"/>
  <c r="L28" i="22"/>
  <c r="R28" i="20"/>
  <c r="Q28" i="20"/>
  <c r="S28" i="20" s="1"/>
  <c r="M27" i="19"/>
  <c r="X27" i="19" s="1"/>
  <c r="Y27" i="19" s="1"/>
  <c r="AC27" i="19"/>
  <c r="W27" i="19"/>
  <c r="M27" i="24"/>
  <c r="X27" i="24" s="1"/>
  <c r="Y27" i="24" s="1"/>
  <c r="AC27" i="24"/>
  <c r="W27" i="24"/>
  <c r="AA25" i="23"/>
  <c r="BM29" i="12"/>
  <c r="R28" i="21"/>
  <c r="Q28" i="21"/>
  <c r="S28" i="21" s="1"/>
  <c r="L28" i="25"/>
  <c r="K28" i="25"/>
  <c r="K29" i="25" s="1"/>
  <c r="M29" i="25" s="1"/>
  <c r="R28" i="19"/>
  <c r="Q28" i="19"/>
  <c r="S28" i="19" s="1"/>
  <c r="L28" i="20"/>
  <c r="K28" i="20"/>
  <c r="R29" i="29"/>
  <c r="Q29" i="29"/>
  <c r="S29" i="29" s="1"/>
  <c r="L28" i="26"/>
  <c r="K28" i="26"/>
  <c r="BM28" i="12"/>
  <c r="AA25" i="22"/>
  <c r="X27" i="21"/>
  <c r="Y27" i="21" s="1"/>
  <c r="Q28" i="26"/>
  <c r="S28" i="26" s="1"/>
  <c r="R28" i="26"/>
  <c r="M27" i="26"/>
  <c r="X27" i="26" s="1"/>
  <c r="Y27" i="26" s="1"/>
  <c r="AC27" i="26"/>
  <c r="W27" i="26"/>
  <c r="M27" i="29"/>
  <c r="W27" i="29"/>
  <c r="AC27" i="22"/>
  <c r="M27" i="22"/>
  <c r="X27" i="22" s="1"/>
  <c r="Y27" i="22" s="1"/>
  <c r="W27" i="22"/>
  <c r="AC27" i="29"/>
  <c r="S27" i="29"/>
  <c r="AA25" i="20"/>
  <c r="BM26" i="12"/>
  <c r="L28" i="29"/>
  <c r="K28" i="29"/>
  <c r="R28" i="24"/>
  <c r="Q28" i="24"/>
  <c r="S28" i="24" s="1"/>
  <c r="H29" i="21"/>
  <c r="N29" i="23"/>
  <c r="H29" i="23"/>
  <c r="N29" i="21"/>
  <c r="H29" i="20"/>
  <c r="N29" i="24"/>
  <c r="H29" i="24"/>
  <c r="N29" i="19"/>
  <c r="H29" i="22"/>
  <c r="N29" i="22"/>
  <c r="N29" i="26"/>
  <c r="H29" i="19"/>
  <c r="N29" i="20"/>
  <c r="H29" i="26"/>
  <c r="Z26" i="27"/>
  <c r="N29" i="25"/>
  <c r="G31" i="22"/>
  <c r="I31" i="22"/>
  <c r="J31" i="22" s="1"/>
  <c r="T31" i="22"/>
  <c r="U31" i="22" s="1"/>
  <c r="A32" i="22"/>
  <c r="O31" i="22"/>
  <c r="P31" i="22" s="1"/>
  <c r="V31" i="22"/>
  <c r="X28" i="27"/>
  <c r="Y28" i="27" s="1"/>
  <c r="A31" i="25"/>
  <c r="V30" i="25"/>
  <c r="I30" i="25"/>
  <c r="J30" i="25" s="1"/>
  <c r="O30" i="25"/>
  <c r="P30" i="25" s="1"/>
  <c r="T30" i="25"/>
  <c r="U30" i="25" s="1"/>
  <c r="G30" i="25"/>
  <c r="T31" i="20"/>
  <c r="U31" i="20" s="1"/>
  <c r="A32" i="20"/>
  <c r="G31" i="20"/>
  <c r="I31" i="20"/>
  <c r="J31" i="20" s="1"/>
  <c r="O31" i="20"/>
  <c r="P31" i="20" s="1"/>
  <c r="V31" i="20"/>
  <c r="O32" i="23"/>
  <c r="P32" i="23" s="1"/>
  <c r="I32" i="23"/>
  <c r="J32" i="23" s="1"/>
  <c r="G32" i="23"/>
  <c r="T32" i="23"/>
  <c r="U32" i="23" s="1"/>
  <c r="A33" i="23"/>
  <c r="V32" i="23"/>
  <c r="A32" i="24"/>
  <c r="O31" i="24"/>
  <c r="P31" i="24" s="1"/>
  <c r="T31" i="24"/>
  <c r="U31" i="24" s="1"/>
  <c r="G31" i="24"/>
  <c r="I31" i="24"/>
  <c r="J31" i="24" s="1"/>
  <c r="V31" i="24"/>
  <c r="AC28" i="27"/>
  <c r="W28" i="27"/>
  <c r="R29" i="27"/>
  <c r="Q29" i="27"/>
  <c r="S29" i="27" s="1"/>
  <c r="O31" i="19"/>
  <c r="P31" i="19" s="1"/>
  <c r="T31" i="19"/>
  <c r="U31" i="19" s="1"/>
  <c r="A32" i="19"/>
  <c r="G31" i="19"/>
  <c r="I31" i="19"/>
  <c r="J31" i="19" s="1"/>
  <c r="V31" i="19"/>
  <c r="L29" i="27"/>
  <c r="K29" i="27"/>
  <c r="M29" i="27" s="1"/>
  <c r="T32" i="21"/>
  <c r="U32" i="21" s="1"/>
  <c r="G32" i="21"/>
  <c r="I32" i="21"/>
  <c r="J32" i="21" s="1"/>
  <c r="O32" i="21"/>
  <c r="P32" i="21" s="1"/>
  <c r="A33" i="21"/>
  <c r="V32" i="21"/>
  <c r="A32" i="26"/>
  <c r="T31" i="26"/>
  <c r="U31" i="26" s="1"/>
  <c r="G31" i="26"/>
  <c r="O31" i="26"/>
  <c r="P31" i="26" s="1"/>
  <c r="I31" i="26"/>
  <c r="J31" i="26" s="1"/>
  <c r="V31" i="26"/>
  <c r="T30" i="27"/>
  <c r="U30" i="27" s="1"/>
  <c r="A31" i="27"/>
  <c r="G30" i="27"/>
  <c r="O30" i="27"/>
  <c r="P30" i="27" s="1"/>
  <c r="I30" i="27"/>
  <c r="J30" i="27" s="1"/>
  <c r="V30" i="27"/>
  <c r="U29" i="17"/>
  <c r="Z26" i="24" l="1"/>
  <c r="Z26" i="25"/>
  <c r="Z26" i="19"/>
  <c r="BN25" i="12" s="1"/>
  <c r="Z26" i="22"/>
  <c r="AA26" i="22" s="1"/>
  <c r="Z26" i="23"/>
  <c r="AA26" i="23" s="1"/>
  <c r="Z26" i="20"/>
  <c r="AA26" i="20" s="1"/>
  <c r="Z26" i="21"/>
  <c r="BN27" i="12" s="1"/>
  <c r="X27" i="23"/>
  <c r="Y27" i="23" s="1"/>
  <c r="N30" i="29"/>
  <c r="X29" i="27"/>
  <c r="X27" i="29"/>
  <c r="Y27" i="29" s="1"/>
  <c r="Z27" i="21" s="1"/>
  <c r="W28" i="21"/>
  <c r="AC28" i="21"/>
  <c r="L29" i="24"/>
  <c r="K29" i="24"/>
  <c r="M28" i="20"/>
  <c r="X28" i="20" s="1"/>
  <c r="Y28" i="20" s="1"/>
  <c r="W28" i="20"/>
  <c r="AC28" i="20"/>
  <c r="BN31" i="12"/>
  <c r="AA26" i="25"/>
  <c r="AA26" i="19"/>
  <c r="BN28" i="12"/>
  <c r="K29" i="20"/>
  <c r="L29" i="20"/>
  <c r="H30" i="29"/>
  <c r="N30" i="20"/>
  <c r="N30" i="26"/>
  <c r="N30" i="23"/>
  <c r="H30" i="20"/>
  <c r="H30" i="19"/>
  <c r="H30" i="24"/>
  <c r="N30" i="22"/>
  <c r="H30" i="21"/>
  <c r="H30" i="22"/>
  <c r="N30" i="21"/>
  <c r="N30" i="19"/>
  <c r="N30" i="24"/>
  <c r="H30" i="26"/>
  <c r="H30" i="23"/>
  <c r="AA26" i="24"/>
  <c r="BN30" i="12"/>
  <c r="N31" i="25"/>
  <c r="R31" i="25" s="1"/>
  <c r="N30" i="25"/>
  <c r="R30" i="25" s="1"/>
  <c r="L29" i="19"/>
  <c r="K29" i="19"/>
  <c r="Q29" i="21"/>
  <c r="R29" i="21"/>
  <c r="AC28" i="19"/>
  <c r="W28" i="19"/>
  <c r="M28" i="19"/>
  <c r="X28" i="19" s="1"/>
  <c r="Y28" i="19" s="1"/>
  <c r="AC28" i="24"/>
  <c r="W28" i="24"/>
  <c r="M28" i="24"/>
  <c r="X28" i="24" s="1"/>
  <c r="Y28" i="24" s="1"/>
  <c r="H30" i="25"/>
  <c r="L30" i="25" s="1"/>
  <c r="R29" i="19"/>
  <c r="Q29" i="19"/>
  <c r="S29" i="19" s="1"/>
  <c r="AA26" i="26"/>
  <c r="BN32" i="12"/>
  <c r="BN33" i="12"/>
  <c r="AA26" i="27"/>
  <c r="R29" i="24"/>
  <c r="Q29" i="24"/>
  <c r="S29" i="24" s="1"/>
  <c r="R29" i="20"/>
  <c r="Q29" i="20"/>
  <c r="S29" i="20" s="1"/>
  <c r="R30" i="29"/>
  <c r="Q30" i="29"/>
  <c r="S30" i="29" s="1"/>
  <c r="M28" i="21"/>
  <c r="X28" i="21" s="1"/>
  <c r="Y28" i="21" s="1"/>
  <c r="H30" i="27"/>
  <c r="L30" i="27" s="1"/>
  <c r="R29" i="26"/>
  <c r="Q29" i="26"/>
  <c r="S29" i="26" s="1"/>
  <c r="L29" i="23"/>
  <c r="K29" i="23"/>
  <c r="W28" i="26"/>
  <c r="AC28" i="26"/>
  <c r="M28" i="26"/>
  <c r="X28" i="26" s="1"/>
  <c r="Y28" i="26" s="1"/>
  <c r="M28" i="25"/>
  <c r="X28" i="25" s="1"/>
  <c r="Y28" i="25" s="1"/>
  <c r="AC28" i="25"/>
  <c r="W28" i="25"/>
  <c r="M28" i="22"/>
  <c r="X28" i="22" s="1"/>
  <c r="Y28" i="22" s="1"/>
  <c r="W28" i="22"/>
  <c r="AC28" i="22"/>
  <c r="R29" i="25"/>
  <c r="Q29" i="25"/>
  <c r="S29" i="25" s="1"/>
  <c r="X29" i="25" s="1"/>
  <c r="O31" i="29"/>
  <c r="P31" i="29" s="1"/>
  <c r="AA31" i="29"/>
  <c r="G31" i="29"/>
  <c r="T31" i="29"/>
  <c r="U31" i="29" s="1"/>
  <c r="I31" i="29"/>
  <c r="J31" i="29" s="1"/>
  <c r="R23" i="1"/>
  <c r="S23" i="1" s="1"/>
  <c r="H31" i="25" s="1"/>
  <c r="L31" i="25" s="1"/>
  <c r="V31" i="29"/>
  <c r="A32" i="29"/>
  <c r="Z31" i="29"/>
  <c r="AC28" i="29"/>
  <c r="M28" i="29"/>
  <c r="X28" i="29" s="1"/>
  <c r="W28" i="29"/>
  <c r="R29" i="22"/>
  <c r="Q29" i="22"/>
  <c r="S29" i="22" s="1"/>
  <c r="R29" i="23"/>
  <c r="Q29" i="23"/>
  <c r="S29" i="23" s="1"/>
  <c r="M28" i="23"/>
  <c r="X28" i="23" s="1"/>
  <c r="AC28" i="23"/>
  <c r="W28" i="23"/>
  <c r="L29" i="26"/>
  <c r="K29" i="26"/>
  <c r="M29" i="26" s="1"/>
  <c r="X29" i="26" s="1"/>
  <c r="L29" i="22"/>
  <c r="K29" i="22"/>
  <c r="M29" i="22" s="1"/>
  <c r="K29" i="21"/>
  <c r="M29" i="21" s="1"/>
  <c r="L29" i="21"/>
  <c r="K29" i="29"/>
  <c r="T32" i="22"/>
  <c r="U32" i="22" s="1"/>
  <c r="V32" i="22"/>
  <c r="O32" i="22"/>
  <c r="P32" i="22" s="1"/>
  <c r="I32" i="22"/>
  <c r="J32" i="22" s="1"/>
  <c r="G32" i="22"/>
  <c r="A33" i="22"/>
  <c r="Y29" i="27"/>
  <c r="I31" i="25"/>
  <c r="J31" i="25" s="1"/>
  <c r="O31" i="25"/>
  <c r="P31" i="25" s="1"/>
  <c r="V31" i="25"/>
  <c r="A32" i="25"/>
  <c r="G31" i="25"/>
  <c r="T31" i="25"/>
  <c r="U31" i="25" s="1"/>
  <c r="R30" i="27"/>
  <c r="Q30" i="27"/>
  <c r="S30" i="27" s="1"/>
  <c r="T33" i="21"/>
  <c r="U33" i="21" s="1"/>
  <c r="A34" i="21"/>
  <c r="G33" i="21"/>
  <c r="O33" i="21"/>
  <c r="P33" i="21" s="1"/>
  <c r="I33" i="21"/>
  <c r="J33" i="21" s="1"/>
  <c r="V33" i="21"/>
  <c r="AC29" i="27"/>
  <c r="W29" i="27"/>
  <c r="I32" i="24"/>
  <c r="J32" i="24" s="1"/>
  <c r="A33" i="24"/>
  <c r="T32" i="24"/>
  <c r="U32" i="24" s="1"/>
  <c r="G32" i="24"/>
  <c r="O32" i="24"/>
  <c r="P32" i="24" s="1"/>
  <c r="V32" i="24"/>
  <c r="A33" i="19"/>
  <c r="G32" i="19"/>
  <c r="O32" i="19"/>
  <c r="P32" i="19" s="1"/>
  <c r="T32" i="19"/>
  <c r="U32" i="19" s="1"/>
  <c r="I32" i="19"/>
  <c r="J32" i="19" s="1"/>
  <c r="V32" i="19"/>
  <c r="O33" i="23"/>
  <c r="P33" i="23" s="1"/>
  <c r="G33" i="23"/>
  <c r="A34" i="23"/>
  <c r="I33" i="23"/>
  <c r="J33" i="23" s="1"/>
  <c r="T33" i="23"/>
  <c r="U33" i="23" s="1"/>
  <c r="V33" i="23"/>
  <c r="I32" i="26"/>
  <c r="J32" i="26" s="1"/>
  <c r="T32" i="26"/>
  <c r="U32" i="26" s="1"/>
  <c r="O32" i="26"/>
  <c r="P32" i="26" s="1"/>
  <c r="A33" i="26"/>
  <c r="G32" i="26"/>
  <c r="V32" i="26"/>
  <c r="I31" i="27"/>
  <c r="J31" i="27" s="1"/>
  <c r="O31" i="27"/>
  <c r="P31" i="27" s="1"/>
  <c r="G31" i="27"/>
  <c r="A32" i="27"/>
  <c r="T31" i="27"/>
  <c r="U31" i="27" s="1"/>
  <c r="V31" i="27"/>
  <c r="G32" i="20"/>
  <c r="A33" i="20"/>
  <c r="T32" i="20"/>
  <c r="U32" i="20" s="1"/>
  <c r="I32" i="20"/>
  <c r="J32" i="20" s="1"/>
  <c r="O32" i="20"/>
  <c r="P32" i="20" s="1"/>
  <c r="V32" i="20"/>
  <c r="U30" i="17"/>
  <c r="BN29" i="12" l="1"/>
  <c r="BN26" i="12"/>
  <c r="Y28" i="23"/>
  <c r="AA26" i="21"/>
  <c r="AA27" i="21" s="1"/>
  <c r="Y29" i="25"/>
  <c r="Y28" i="29"/>
  <c r="Z28" i="27" s="1"/>
  <c r="BP33" i="12" s="1"/>
  <c r="Z27" i="22"/>
  <c r="BO28" i="12" s="1"/>
  <c r="Z27" i="20"/>
  <c r="AA27" i="20" s="1"/>
  <c r="Z27" i="23"/>
  <c r="AA27" i="23" s="1"/>
  <c r="Z27" i="24"/>
  <c r="AA27" i="24" s="1"/>
  <c r="Y29" i="26"/>
  <c r="Z27" i="26"/>
  <c r="BO32" i="12" s="1"/>
  <c r="Z27" i="19"/>
  <c r="BO25" i="12" s="1"/>
  <c r="H31" i="27"/>
  <c r="K30" i="27"/>
  <c r="M30" i="27" s="1"/>
  <c r="X30" i="27" s="1"/>
  <c r="Y30" i="27" s="1"/>
  <c r="AC29" i="25"/>
  <c r="W29" i="25"/>
  <c r="Q30" i="25"/>
  <c r="S30" i="25" s="1"/>
  <c r="Z27" i="27"/>
  <c r="BO33" i="12" s="1"/>
  <c r="Z27" i="25"/>
  <c r="BO27" i="12"/>
  <c r="O32" i="29"/>
  <c r="P32" i="29" s="1"/>
  <c r="Z32" i="29"/>
  <c r="I32" i="29"/>
  <c r="J32" i="29" s="1"/>
  <c r="G32" i="29"/>
  <c r="AA32" i="29"/>
  <c r="R24" i="1"/>
  <c r="S24" i="1" s="1"/>
  <c r="T32" i="29"/>
  <c r="U32" i="29" s="1"/>
  <c r="A33" i="29"/>
  <c r="V32" i="29"/>
  <c r="R30" i="22"/>
  <c r="Q30" i="22"/>
  <c r="S30" i="22" s="1"/>
  <c r="N31" i="27"/>
  <c r="K30" i="23"/>
  <c r="L30" i="23"/>
  <c r="L30" i="24"/>
  <c r="K30" i="24"/>
  <c r="M30" i="24" s="1"/>
  <c r="M29" i="20"/>
  <c r="X29" i="20" s="1"/>
  <c r="Y29" i="20" s="1"/>
  <c r="AC29" i="20"/>
  <c r="W29" i="20"/>
  <c r="R30" i="20"/>
  <c r="Q30" i="20"/>
  <c r="S30" i="20" s="1"/>
  <c r="W29" i="26"/>
  <c r="AC29" i="26"/>
  <c r="L30" i="21"/>
  <c r="K30" i="21"/>
  <c r="AC29" i="21"/>
  <c r="S29" i="21"/>
  <c r="X29" i="21" s="1"/>
  <c r="Y29" i="21" s="1"/>
  <c r="L30" i="26"/>
  <c r="K30" i="26"/>
  <c r="L30" i="19"/>
  <c r="K30" i="19"/>
  <c r="X29" i="22"/>
  <c r="Y29" i="22" s="1"/>
  <c r="M29" i="19"/>
  <c r="X29" i="19" s="1"/>
  <c r="Y29" i="19" s="1"/>
  <c r="AC29" i="19"/>
  <c r="W29" i="19"/>
  <c r="R30" i="24"/>
  <c r="Q30" i="24"/>
  <c r="S30" i="24" s="1"/>
  <c r="L30" i="20"/>
  <c r="K30" i="20"/>
  <c r="H31" i="29"/>
  <c r="L30" i="22"/>
  <c r="K30" i="22"/>
  <c r="K30" i="29"/>
  <c r="L30" i="29"/>
  <c r="H32" i="29"/>
  <c r="L32" i="29" s="1"/>
  <c r="N32" i="29"/>
  <c r="W29" i="21"/>
  <c r="BO30" i="12"/>
  <c r="R30" i="19"/>
  <c r="Q30" i="19"/>
  <c r="S30" i="19" s="1"/>
  <c r="R30" i="23"/>
  <c r="Q30" i="23"/>
  <c r="S30" i="23" s="1"/>
  <c r="M29" i="24"/>
  <c r="X29" i="24" s="1"/>
  <c r="Y29" i="24" s="1"/>
  <c r="W29" i="24"/>
  <c r="AC29" i="24"/>
  <c r="AC29" i="29"/>
  <c r="W29" i="29"/>
  <c r="M29" i="29"/>
  <c r="X29" i="29" s="1"/>
  <c r="Y29" i="29" s="1"/>
  <c r="AC29" i="23"/>
  <c r="W29" i="23"/>
  <c r="M29" i="23"/>
  <c r="X29" i="23" s="1"/>
  <c r="Y29" i="23" s="1"/>
  <c r="N31" i="29"/>
  <c r="N31" i="23"/>
  <c r="R31" i="23" s="1"/>
  <c r="H31" i="23"/>
  <c r="H31" i="20"/>
  <c r="N31" i="24"/>
  <c r="H31" i="21"/>
  <c r="N31" i="26"/>
  <c r="N31" i="21"/>
  <c r="H31" i="24"/>
  <c r="H31" i="22"/>
  <c r="N31" i="22"/>
  <c r="N31" i="20"/>
  <c r="H31" i="26"/>
  <c r="H31" i="19"/>
  <c r="N31" i="19"/>
  <c r="K30" i="25"/>
  <c r="W29" i="22"/>
  <c r="AC29" i="22"/>
  <c r="R30" i="21"/>
  <c r="Q30" i="21"/>
  <c r="S30" i="21" s="1"/>
  <c r="Q30" i="26"/>
  <c r="S30" i="26" s="1"/>
  <c r="R30" i="26"/>
  <c r="A34" i="22"/>
  <c r="O33" i="22"/>
  <c r="P33" i="22" s="1"/>
  <c r="I33" i="22"/>
  <c r="J33" i="22" s="1"/>
  <c r="V33" i="22"/>
  <c r="G33" i="22"/>
  <c r="T33" i="22"/>
  <c r="U33" i="22" s="1"/>
  <c r="V32" i="25"/>
  <c r="I32" i="25"/>
  <c r="J32" i="25" s="1"/>
  <c r="T32" i="25"/>
  <c r="U32" i="25" s="1"/>
  <c r="A33" i="25"/>
  <c r="O32" i="25"/>
  <c r="P32" i="25" s="1"/>
  <c r="G32" i="25"/>
  <c r="Q31" i="25"/>
  <c r="N32" i="25"/>
  <c r="R32" i="25" s="1"/>
  <c r="L31" i="27"/>
  <c r="I32" i="27"/>
  <c r="J32" i="27" s="1"/>
  <c r="G32" i="27"/>
  <c r="O32" i="27"/>
  <c r="P32" i="27" s="1"/>
  <c r="T32" i="27"/>
  <c r="U32" i="27" s="1"/>
  <c r="A33" i="27"/>
  <c r="N32" i="27"/>
  <c r="H32" i="27"/>
  <c r="V32" i="27"/>
  <c r="O33" i="19"/>
  <c r="P33" i="19" s="1"/>
  <c r="I33" i="19"/>
  <c r="J33" i="19" s="1"/>
  <c r="G33" i="19"/>
  <c r="T33" i="19"/>
  <c r="U33" i="19" s="1"/>
  <c r="A34" i="19"/>
  <c r="V33" i="19"/>
  <c r="G33" i="26"/>
  <c r="T33" i="26"/>
  <c r="U33" i="26" s="1"/>
  <c r="A34" i="26"/>
  <c r="O33" i="26"/>
  <c r="P33" i="26" s="1"/>
  <c r="I33" i="26"/>
  <c r="J33" i="26" s="1"/>
  <c r="V33" i="26"/>
  <c r="G33" i="20"/>
  <c r="T33" i="20"/>
  <c r="U33" i="20" s="1"/>
  <c r="I33" i="20"/>
  <c r="J33" i="20" s="1"/>
  <c r="O33" i="20"/>
  <c r="P33" i="20" s="1"/>
  <c r="A34" i="20"/>
  <c r="V33" i="20"/>
  <c r="T33" i="24"/>
  <c r="U33" i="24" s="1"/>
  <c r="I33" i="24"/>
  <c r="J33" i="24" s="1"/>
  <c r="O33" i="24"/>
  <c r="P33" i="24" s="1"/>
  <c r="G33" i="24"/>
  <c r="A34" i="24"/>
  <c r="V33" i="24"/>
  <c r="G34" i="23"/>
  <c r="I34" i="23"/>
  <c r="J34" i="23" s="1"/>
  <c r="O34" i="23"/>
  <c r="P34" i="23" s="1"/>
  <c r="T34" i="23"/>
  <c r="U34" i="23" s="1"/>
  <c r="A35" i="23"/>
  <c r="V34" i="23"/>
  <c r="R31" i="27"/>
  <c r="Q31" i="27"/>
  <c r="S31" i="27" s="1"/>
  <c r="G34" i="21"/>
  <c r="I34" i="21"/>
  <c r="J34" i="21" s="1"/>
  <c r="T34" i="21"/>
  <c r="U34" i="21" s="1"/>
  <c r="O34" i="21"/>
  <c r="P34" i="21" s="1"/>
  <c r="A35" i="21"/>
  <c r="V34" i="21"/>
  <c r="U31" i="17"/>
  <c r="Z28" i="20" l="1"/>
  <c r="Z28" i="19"/>
  <c r="BP25" i="12" s="1"/>
  <c r="AA27" i="22"/>
  <c r="Z28" i="22"/>
  <c r="BP28" i="12" s="1"/>
  <c r="Z28" i="21"/>
  <c r="BP27" i="12" s="1"/>
  <c r="BO26" i="12"/>
  <c r="Z28" i="24"/>
  <c r="AA28" i="24" s="1"/>
  <c r="Z28" i="25"/>
  <c r="BP31" i="12" s="1"/>
  <c r="K31" i="27"/>
  <c r="M31" i="27" s="1"/>
  <c r="X31" i="27" s="1"/>
  <c r="Y31" i="27" s="1"/>
  <c r="Z28" i="23"/>
  <c r="AA28" i="23" s="1"/>
  <c r="AA27" i="19"/>
  <c r="AA28" i="19" s="1"/>
  <c r="Z29" i="26"/>
  <c r="BQ32" i="12" s="1"/>
  <c r="Z28" i="26"/>
  <c r="BP32" i="12" s="1"/>
  <c r="BO29" i="12"/>
  <c r="AA27" i="26"/>
  <c r="AC30" i="27"/>
  <c r="X30" i="24"/>
  <c r="Y30" i="24" s="1"/>
  <c r="W30" i="27"/>
  <c r="AC30" i="25"/>
  <c r="AA27" i="25"/>
  <c r="BO31" i="12"/>
  <c r="Z29" i="23"/>
  <c r="BQ29" i="12" s="1"/>
  <c r="K31" i="25"/>
  <c r="M31" i="25" s="1"/>
  <c r="W30" i="25"/>
  <c r="AA27" i="27"/>
  <c r="AA28" i="27" s="1"/>
  <c r="L31" i="19"/>
  <c r="K31" i="19"/>
  <c r="K31" i="21"/>
  <c r="L31" i="21"/>
  <c r="L31" i="29"/>
  <c r="K31" i="29"/>
  <c r="M31" i="29" s="1"/>
  <c r="Z29" i="19"/>
  <c r="Z29" i="20"/>
  <c r="H32" i="23"/>
  <c r="L32" i="23" s="1"/>
  <c r="H32" i="21"/>
  <c r="N32" i="20"/>
  <c r="H32" i="24"/>
  <c r="N32" i="22"/>
  <c r="N32" i="26"/>
  <c r="N32" i="23"/>
  <c r="N32" i="21"/>
  <c r="R32" i="21" s="1"/>
  <c r="N32" i="19"/>
  <c r="N32" i="24"/>
  <c r="H32" i="22"/>
  <c r="H32" i="19"/>
  <c r="H32" i="20"/>
  <c r="H32" i="26"/>
  <c r="L31" i="26"/>
  <c r="K31" i="26"/>
  <c r="R31" i="24"/>
  <c r="Q31" i="24"/>
  <c r="S31" i="24" s="1"/>
  <c r="Q31" i="23"/>
  <c r="S31" i="23" s="1"/>
  <c r="AA28" i="20"/>
  <c r="BP26" i="12"/>
  <c r="Z29" i="27"/>
  <c r="L31" i="23"/>
  <c r="K31" i="23"/>
  <c r="M31" i="23" s="1"/>
  <c r="X31" i="23" s="1"/>
  <c r="M30" i="25"/>
  <c r="X30" i="25" s="1"/>
  <c r="Y30" i="25" s="1"/>
  <c r="L31" i="24"/>
  <c r="K31" i="24"/>
  <c r="M31" i="24" s="1"/>
  <c r="R31" i="29"/>
  <c r="Q31" i="29"/>
  <c r="Q32" i="29" s="1"/>
  <c r="S32" i="29" s="1"/>
  <c r="S31" i="29"/>
  <c r="M30" i="29"/>
  <c r="X30" i="29" s="1"/>
  <c r="Y30" i="29" s="1"/>
  <c r="AC30" i="29"/>
  <c r="W30" i="29"/>
  <c r="W30" i="19"/>
  <c r="AC30" i="19"/>
  <c r="M30" i="21"/>
  <c r="X30" i="21" s="1"/>
  <c r="Y30" i="21" s="1"/>
  <c r="AC30" i="21"/>
  <c r="W30" i="21"/>
  <c r="M30" i="23"/>
  <c r="X30" i="23" s="1"/>
  <c r="Y30" i="23" s="1"/>
  <c r="W30" i="23"/>
  <c r="AC30" i="23"/>
  <c r="Z29" i="25"/>
  <c r="L31" i="20"/>
  <c r="K31" i="20"/>
  <c r="R32" i="29"/>
  <c r="W30" i="24"/>
  <c r="AC30" i="24"/>
  <c r="R31" i="22"/>
  <c r="Q31" i="22"/>
  <c r="S31" i="22" s="1"/>
  <c r="H32" i="25"/>
  <c r="L32" i="25" s="1"/>
  <c r="R31" i="21"/>
  <c r="Q31" i="21"/>
  <c r="AA28" i="22"/>
  <c r="M30" i="22"/>
  <c r="X30" i="22" s="1"/>
  <c r="Y30" i="22" s="1"/>
  <c r="AC30" i="22"/>
  <c r="W30" i="22"/>
  <c r="I33" i="29"/>
  <c r="J33" i="29" s="1"/>
  <c r="T33" i="29"/>
  <c r="U33" i="29" s="1"/>
  <c r="V33" i="29"/>
  <c r="A34" i="29"/>
  <c r="R25" i="1"/>
  <c r="S25" i="1" s="1"/>
  <c r="H33" i="25" s="1"/>
  <c r="L33" i="25" s="1"/>
  <c r="AA33" i="29"/>
  <c r="O33" i="29"/>
  <c r="P33" i="29" s="1"/>
  <c r="Z33" i="29"/>
  <c r="G33" i="29"/>
  <c r="R31" i="20"/>
  <c r="Q31" i="20"/>
  <c r="S31" i="20" s="1"/>
  <c r="AC30" i="20"/>
  <c r="M30" i="20"/>
  <c r="X30" i="20" s="1"/>
  <c r="Y30" i="20" s="1"/>
  <c r="W30" i="20"/>
  <c r="Z29" i="21"/>
  <c r="Z29" i="22"/>
  <c r="Z29" i="24"/>
  <c r="L31" i="22"/>
  <c r="K31" i="22"/>
  <c r="M31" i="22" s="1"/>
  <c r="R31" i="19"/>
  <c r="Q31" i="19"/>
  <c r="S31" i="19" s="1"/>
  <c r="Q31" i="26"/>
  <c r="S31" i="26" s="1"/>
  <c r="R31" i="26"/>
  <c r="M30" i="26"/>
  <c r="X30" i="26" s="1"/>
  <c r="Y30" i="26" s="1"/>
  <c r="W30" i="26"/>
  <c r="AC30" i="26"/>
  <c r="M30" i="19"/>
  <c r="X30" i="19" s="1"/>
  <c r="Y30" i="19" s="1"/>
  <c r="N33" i="25"/>
  <c r="R33" i="25" s="1"/>
  <c r="G34" i="22"/>
  <c r="I34" i="22"/>
  <c r="J34" i="22" s="1"/>
  <c r="A35" i="22"/>
  <c r="O34" i="22"/>
  <c r="P34" i="22" s="1"/>
  <c r="T34" i="22"/>
  <c r="U34" i="22" s="1"/>
  <c r="V34" i="22"/>
  <c r="A34" i="25"/>
  <c r="O33" i="25"/>
  <c r="P33" i="25" s="1"/>
  <c r="V33" i="25"/>
  <c r="G33" i="25"/>
  <c r="I33" i="25"/>
  <c r="J33" i="25" s="1"/>
  <c r="T33" i="25"/>
  <c r="U33" i="25" s="1"/>
  <c r="Q32" i="25"/>
  <c r="S32" i="25" s="1"/>
  <c r="S31" i="25"/>
  <c r="I34" i="19"/>
  <c r="J34" i="19" s="1"/>
  <c r="T34" i="19"/>
  <c r="U34" i="19" s="1"/>
  <c r="O34" i="19"/>
  <c r="P34" i="19" s="1"/>
  <c r="A35" i="19"/>
  <c r="G34" i="19"/>
  <c r="V34" i="19"/>
  <c r="L32" i="27"/>
  <c r="G33" i="27"/>
  <c r="N33" i="27"/>
  <c r="I33" i="27"/>
  <c r="J33" i="27" s="1"/>
  <c r="O33" i="27"/>
  <c r="P33" i="27" s="1"/>
  <c r="H33" i="27"/>
  <c r="A34" i="27"/>
  <c r="T33" i="27"/>
  <c r="U33" i="27" s="1"/>
  <c r="V33" i="27"/>
  <c r="R32" i="27"/>
  <c r="Q32" i="27"/>
  <c r="S32" i="27" s="1"/>
  <c r="A35" i="20"/>
  <c r="T34" i="20"/>
  <c r="U34" i="20" s="1"/>
  <c r="I34" i="20"/>
  <c r="J34" i="20" s="1"/>
  <c r="G34" i="20"/>
  <c r="O34" i="20"/>
  <c r="P34" i="20" s="1"/>
  <c r="V34" i="20"/>
  <c r="O34" i="26"/>
  <c r="P34" i="26" s="1"/>
  <c r="I34" i="26"/>
  <c r="J34" i="26" s="1"/>
  <c r="A35" i="26"/>
  <c r="G34" i="26"/>
  <c r="T34" i="26"/>
  <c r="U34" i="26" s="1"/>
  <c r="V34" i="26"/>
  <c r="T35" i="21"/>
  <c r="U35" i="21" s="1"/>
  <c r="G35" i="21"/>
  <c r="I35" i="21"/>
  <c r="J35" i="21" s="1"/>
  <c r="O35" i="21"/>
  <c r="P35" i="21" s="1"/>
  <c r="A36" i="21"/>
  <c r="V35" i="21"/>
  <c r="T35" i="23"/>
  <c r="U35" i="23" s="1"/>
  <c r="A36" i="23"/>
  <c r="O35" i="23"/>
  <c r="P35" i="23" s="1"/>
  <c r="G35" i="23"/>
  <c r="I35" i="23"/>
  <c r="J35" i="23" s="1"/>
  <c r="V35" i="23"/>
  <c r="A35" i="24"/>
  <c r="I34" i="24"/>
  <c r="J34" i="24" s="1"/>
  <c r="G34" i="24"/>
  <c r="T34" i="24"/>
  <c r="U34" i="24" s="1"/>
  <c r="O34" i="24"/>
  <c r="P34" i="24" s="1"/>
  <c r="V34" i="24"/>
  <c r="U32" i="17"/>
  <c r="AA28" i="21" l="1"/>
  <c r="BP30" i="12"/>
  <c r="AA28" i="25"/>
  <c r="AA29" i="25" s="1"/>
  <c r="K32" i="27"/>
  <c r="M32" i="27" s="1"/>
  <c r="X32" i="27" s="1"/>
  <c r="Y32" i="27" s="1"/>
  <c r="BP29" i="12"/>
  <c r="AA28" i="26"/>
  <c r="AA29" i="26" s="1"/>
  <c r="W31" i="27"/>
  <c r="AC31" i="27"/>
  <c r="Z30" i="23"/>
  <c r="BR29" i="12" s="1"/>
  <c r="AA29" i="23"/>
  <c r="X31" i="29"/>
  <c r="Y31" i="29" s="1"/>
  <c r="Z31" i="27" s="1"/>
  <c r="BS33" i="12" s="1"/>
  <c r="W31" i="25"/>
  <c r="K32" i="29"/>
  <c r="W32" i="29" s="1"/>
  <c r="X31" i="24"/>
  <c r="Y31" i="24" s="1"/>
  <c r="AC31" i="25"/>
  <c r="Y31" i="23"/>
  <c r="Z30" i="25"/>
  <c r="BQ28" i="12"/>
  <c r="AA29" i="22"/>
  <c r="AA29" i="20"/>
  <c r="BQ26" i="12"/>
  <c r="H34" i="25"/>
  <c r="L34" i="25" s="1"/>
  <c r="Z30" i="26"/>
  <c r="Z34" i="29"/>
  <c r="V34" i="29"/>
  <c r="A35" i="29"/>
  <c r="O34" i="29"/>
  <c r="P34" i="29" s="1"/>
  <c r="T34" i="29"/>
  <c r="U34" i="29" s="1"/>
  <c r="AA34" i="29"/>
  <c r="R26" i="1"/>
  <c r="S26" i="1" s="1"/>
  <c r="N34" i="29" s="1"/>
  <c r="G34" i="29"/>
  <c r="I34" i="29"/>
  <c r="J34" i="29" s="1"/>
  <c r="Q32" i="21"/>
  <c r="S32" i="21" s="1"/>
  <c r="S31" i="21"/>
  <c r="BQ31" i="12"/>
  <c r="BQ33" i="12"/>
  <c r="AA29" i="27"/>
  <c r="AC31" i="26"/>
  <c r="W31" i="26"/>
  <c r="M31" i="26"/>
  <c r="X31" i="26" s="1"/>
  <c r="Y31" i="26" s="1"/>
  <c r="R32" i="24"/>
  <c r="Q32" i="24"/>
  <c r="S32" i="24" s="1"/>
  <c r="L32" i="21"/>
  <c r="AA29" i="24"/>
  <c r="BQ30" i="12"/>
  <c r="R32" i="19"/>
  <c r="Q32" i="19"/>
  <c r="S32" i="19" s="1"/>
  <c r="K32" i="21"/>
  <c r="M32" i="21" s="1"/>
  <c r="W31" i="21"/>
  <c r="M31" i="21"/>
  <c r="AC31" i="21"/>
  <c r="Z30" i="19"/>
  <c r="Z30" i="24"/>
  <c r="Z30" i="20"/>
  <c r="Z30" i="21"/>
  <c r="Z30" i="27"/>
  <c r="R32" i="23"/>
  <c r="Q32" i="23"/>
  <c r="AC31" i="20"/>
  <c r="W31" i="20"/>
  <c r="K32" i="23"/>
  <c r="AC31" i="23"/>
  <c r="W31" i="23"/>
  <c r="K32" i="26"/>
  <c r="L32" i="26"/>
  <c r="Q32" i="26"/>
  <c r="S32" i="26" s="1"/>
  <c r="R32" i="26"/>
  <c r="W31" i="29"/>
  <c r="AC31" i="29"/>
  <c r="X31" i="22"/>
  <c r="Y31" i="22" s="1"/>
  <c r="K32" i="25"/>
  <c r="M32" i="25" s="1"/>
  <c r="X32" i="25" s="1"/>
  <c r="K32" i="20"/>
  <c r="L32" i="20"/>
  <c r="R32" i="22"/>
  <c r="Q32" i="22"/>
  <c r="S32" i="22" s="1"/>
  <c r="M31" i="19"/>
  <c r="X31" i="19" s="1"/>
  <c r="Y31" i="19" s="1"/>
  <c r="AC31" i="19"/>
  <c r="W31" i="19"/>
  <c r="BQ25" i="12"/>
  <c r="AA29" i="19"/>
  <c r="AC31" i="22"/>
  <c r="W31" i="22"/>
  <c r="N33" i="23"/>
  <c r="R33" i="23" s="1"/>
  <c r="H33" i="22"/>
  <c r="N33" i="29"/>
  <c r="H33" i="21"/>
  <c r="N33" i="19"/>
  <c r="H33" i="19"/>
  <c r="N33" i="20"/>
  <c r="H33" i="26"/>
  <c r="H33" i="23"/>
  <c r="H33" i="20"/>
  <c r="H33" i="24"/>
  <c r="N33" i="21"/>
  <c r="N33" i="26"/>
  <c r="N33" i="24"/>
  <c r="N33" i="22"/>
  <c r="Z30" i="22"/>
  <c r="L32" i="19"/>
  <c r="K32" i="19"/>
  <c r="L32" i="24"/>
  <c r="K32" i="24"/>
  <c r="BQ27" i="12"/>
  <c r="AA29" i="21"/>
  <c r="H33" i="29"/>
  <c r="K33" i="29" s="1"/>
  <c r="W31" i="24"/>
  <c r="AC31" i="24"/>
  <c r="L32" i="22"/>
  <c r="K32" i="22"/>
  <c r="Q32" i="20"/>
  <c r="S32" i="20" s="1"/>
  <c r="R32" i="20"/>
  <c r="M31" i="20"/>
  <c r="X31" i="20" s="1"/>
  <c r="Y31" i="20" s="1"/>
  <c r="V35" i="22"/>
  <c r="O35" i="22"/>
  <c r="P35" i="22" s="1"/>
  <c r="A36" i="22"/>
  <c r="I35" i="22"/>
  <c r="J35" i="22" s="1"/>
  <c r="G35" i="22"/>
  <c r="T35" i="22"/>
  <c r="U35" i="22" s="1"/>
  <c r="Q33" i="25"/>
  <c r="S33" i="25" s="1"/>
  <c r="T34" i="25"/>
  <c r="U34" i="25" s="1"/>
  <c r="G34" i="25"/>
  <c r="I34" i="25"/>
  <c r="J34" i="25" s="1"/>
  <c r="A35" i="25"/>
  <c r="O34" i="25"/>
  <c r="P34" i="25" s="1"/>
  <c r="V34" i="25"/>
  <c r="X31" i="25"/>
  <c r="Y31" i="25" s="1"/>
  <c r="A36" i="19"/>
  <c r="T35" i="19"/>
  <c r="U35" i="19" s="1"/>
  <c r="G35" i="19"/>
  <c r="O35" i="19"/>
  <c r="P35" i="19" s="1"/>
  <c r="I35" i="19"/>
  <c r="J35" i="19" s="1"/>
  <c r="V35" i="19"/>
  <c r="A37" i="23"/>
  <c r="T36" i="23"/>
  <c r="U36" i="23" s="1"/>
  <c r="O36" i="23"/>
  <c r="P36" i="23" s="1"/>
  <c r="I36" i="23"/>
  <c r="J36" i="23" s="1"/>
  <c r="G36" i="23"/>
  <c r="V36" i="23"/>
  <c r="A35" i="27"/>
  <c r="I34" i="27"/>
  <c r="J34" i="27" s="1"/>
  <c r="G34" i="27"/>
  <c r="T34" i="27"/>
  <c r="U34" i="27" s="1"/>
  <c r="O34" i="27"/>
  <c r="P34" i="27" s="1"/>
  <c r="V34" i="27"/>
  <c r="L33" i="27"/>
  <c r="T35" i="24"/>
  <c r="U35" i="24" s="1"/>
  <c r="O35" i="24"/>
  <c r="P35" i="24" s="1"/>
  <c r="I35" i="24"/>
  <c r="J35" i="24" s="1"/>
  <c r="G35" i="24"/>
  <c r="A36" i="24"/>
  <c r="V35" i="24"/>
  <c r="G35" i="26"/>
  <c r="I35" i="26"/>
  <c r="J35" i="26" s="1"/>
  <c r="T35" i="26"/>
  <c r="U35" i="26" s="1"/>
  <c r="O35" i="26"/>
  <c r="P35" i="26" s="1"/>
  <c r="A36" i="26"/>
  <c r="V35" i="26"/>
  <c r="A37" i="21"/>
  <c r="O36" i="21"/>
  <c r="P36" i="21" s="1"/>
  <c r="I36" i="21"/>
  <c r="J36" i="21" s="1"/>
  <c r="G36" i="21"/>
  <c r="T36" i="21"/>
  <c r="U36" i="21" s="1"/>
  <c r="V36" i="21"/>
  <c r="G35" i="20"/>
  <c r="T35" i="20"/>
  <c r="U35" i="20" s="1"/>
  <c r="A36" i="20"/>
  <c r="I35" i="20"/>
  <c r="J35" i="20" s="1"/>
  <c r="O35" i="20"/>
  <c r="P35" i="20" s="1"/>
  <c r="V35" i="20"/>
  <c r="R33" i="27"/>
  <c r="Q33" i="27"/>
  <c r="S33" i="27" s="1"/>
  <c r="U33" i="17"/>
  <c r="AC32" i="29" l="1"/>
  <c r="M32" i="29"/>
  <c r="X32" i="29" s="1"/>
  <c r="W32" i="27"/>
  <c r="K33" i="27"/>
  <c r="M33" i="27" s="1"/>
  <c r="AC32" i="27"/>
  <c r="AA30" i="23"/>
  <c r="Z31" i="19"/>
  <c r="BS25" i="12" s="1"/>
  <c r="Z31" i="24"/>
  <c r="BS30" i="12" s="1"/>
  <c r="Z31" i="23"/>
  <c r="Z31" i="20"/>
  <c r="BS26" i="12" s="1"/>
  <c r="Z31" i="25"/>
  <c r="BS31" i="12" s="1"/>
  <c r="Z31" i="26"/>
  <c r="BS32" i="12" s="1"/>
  <c r="Z31" i="22"/>
  <c r="BS28" i="12" s="1"/>
  <c r="Y32" i="29"/>
  <c r="Z32" i="27" s="1"/>
  <c r="AA30" i="25"/>
  <c r="BR31" i="12"/>
  <c r="X32" i="21"/>
  <c r="R34" i="29"/>
  <c r="K33" i="22"/>
  <c r="L33" i="22"/>
  <c r="Q33" i="23"/>
  <c r="S33" i="23" s="1"/>
  <c r="X31" i="21"/>
  <c r="N34" i="27"/>
  <c r="AA30" i="22"/>
  <c r="BR28" i="12"/>
  <c r="K33" i="26"/>
  <c r="L33" i="26"/>
  <c r="H34" i="29"/>
  <c r="K33" i="20"/>
  <c r="L33" i="20"/>
  <c r="W32" i="25"/>
  <c r="AC32" i="25"/>
  <c r="R33" i="20"/>
  <c r="Q33" i="20"/>
  <c r="S33" i="20" s="1"/>
  <c r="S32" i="23"/>
  <c r="AA30" i="27"/>
  <c r="AA31" i="27" s="1"/>
  <c r="BR33" i="12"/>
  <c r="R33" i="24"/>
  <c r="Q33" i="24"/>
  <c r="S33" i="24" s="1"/>
  <c r="L33" i="19"/>
  <c r="K33" i="19"/>
  <c r="N34" i="25"/>
  <c r="R34" i="25" s="1"/>
  <c r="AA30" i="21"/>
  <c r="BR27" i="12"/>
  <c r="L33" i="24"/>
  <c r="K33" i="24"/>
  <c r="AC32" i="19"/>
  <c r="M32" i="19"/>
  <c r="X32" i="19" s="1"/>
  <c r="Y32" i="19" s="1"/>
  <c r="W32" i="19"/>
  <c r="M32" i="20"/>
  <c r="X32" i="20" s="1"/>
  <c r="Y32" i="20" s="1"/>
  <c r="AC32" i="20"/>
  <c r="W32" i="20"/>
  <c r="L33" i="29"/>
  <c r="M33" i="29"/>
  <c r="K33" i="25"/>
  <c r="AC33" i="25" s="1"/>
  <c r="M32" i="26"/>
  <c r="X32" i="26" s="1"/>
  <c r="Y32" i="26" s="1"/>
  <c r="W32" i="26"/>
  <c r="AC32" i="26"/>
  <c r="W32" i="21"/>
  <c r="AC32" i="21"/>
  <c r="H34" i="27"/>
  <c r="M32" i="22"/>
  <c r="X32" i="22" s="1"/>
  <c r="Y32" i="22" s="1"/>
  <c r="W32" i="22"/>
  <c r="AC32" i="22"/>
  <c r="R33" i="26"/>
  <c r="Q33" i="26"/>
  <c r="S33" i="26" s="1"/>
  <c r="R33" i="19"/>
  <c r="AA30" i="20"/>
  <c r="BR26" i="12"/>
  <c r="Q33" i="19"/>
  <c r="S33" i="19" s="1"/>
  <c r="AA30" i="26"/>
  <c r="BR32" i="12"/>
  <c r="R33" i="29"/>
  <c r="Q33" i="29"/>
  <c r="AC33" i="29" s="1"/>
  <c r="BR25" i="12"/>
  <c r="AA30" i="19"/>
  <c r="V35" i="29"/>
  <c r="AA35" i="29"/>
  <c r="T35" i="29"/>
  <c r="U35" i="29" s="1"/>
  <c r="O35" i="29"/>
  <c r="P35" i="29" s="1"/>
  <c r="G35" i="29"/>
  <c r="Z35" i="29"/>
  <c r="R27" i="1"/>
  <c r="S27" i="1" s="1"/>
  <c r="I35" i="29"/>
  <c r="J35" i="29" s="1"/>
  <c r="A36" i="29"/>
  <c r="L33" i="23"/>
  <c r="K33" i="23"/>
  <c r="M33" i="23" s="1"/>
  <c r="R33" i="22"/>
  <c r="Q33" i="22"/>
  <c r="S33" i="22" s="1"/>
  <c r="N34" i="21"/>
  <c r="N34" i="23"/>
  <c r="H34" i="21"/>
  <c r="N34" i="24"/>
  <c r="H34" i="22"/>
  <c r="N34" i="20"/>
  <c r="N34" i="22"/>
  <c r="H34" i="24"/>
  <c r="N34" i="19"/>
  <c r="H34" i="26"/>
  <c r="H34" i="23"/>
  <c r="L34" i="23" s="1"/>
  <c r="N34" i="26"/>
  <c r="H34" i="19"/>
  <c r="H34" i="20"/>
  <c r="W32" i="24"/>
  <c r="AC32" i="24"/>
  <c r="M32" i="24"/>
  <c r="X32" i="24" s="1"/>
  <c r="Y32" i="24" s="1"/>
  <c r="R33" i="21"/>
  <c r="Q33" i="21"/>
  <c r="S33" i="21" s="1"/>
  <c r="L33" i="21"/>
  <c r="K33" i="21"/>
  <c r="M32" i="23"/>
  <c r="W32" i="23"/>
  <c r="AC32" i="23"/>
  <c r="AA30" i="24"/>
  <c r="BR30" i="12"/>
  <c r="A37" i="22"/>
  <c r="O36" i="22"/>
  <c r="P36" i="22" s="1"/>
  <c r="G36" i="22"/>
  <c r="V36" i="22"/>
  <c r="T36" i="22"/>
  <c r="U36" i="22" s="1"/>
  <c r="I36" i="22"/>
  <c r="J36" i="22" s="1"/>
  <c r="Q34" i="25"/>
  <c r="S34" i="25" s="1"/>
  <c r="V35" i="25"/>
  <c r="I35" i="25"/>
  <c r="J35" i="25" s="1"/>
  <c r="O35" i="25"/>
  <c r="P35" i="25" s="1"/>
  <c r="A36" i="25"/>
  <c r="T35" i="25"/>
  <c r="U35" i="25" s="1"/>
  <c r="G35" i="25"/>
  <c r="N35" i="25"/>
  <c r="Y32" i="25"/>
  <c r="X33" i="27"/>
  <c r="Y33" i="27" s="1"/>
  <c r="O37" i="21"/>
  <c r="P37" i="21" s="1"/>
  <c r="G37" i="21"/>
  <c r="T37" i="21"/>
  <c r="U37" i="21" s="1"/>
  <c r="I37" i="21"/>
  <c r="J37" i="21" s="1"/>
  <c r="A38" i="21"/>
  <c r="V37" i="21"/>
  <c r="O36" i="26"/>
  <c r="P36" i="26" s="1"/>
  <c r="A37" i="26"/>
  <c r="G36" i="26"/>
  <c r="I36" i="26"/>
  <c r="J36" i="26" s="1"/>
  <c r="T36" i="26"/>
  <c r="U36" i="26" s="1"/>
  <c r="V36" i="26"/>
  <c r="L34" i="27"/>
  <c r="I36" i="19"/>
  <c r="J36" i="19" s="1"/>
  <c r="T36" i="19"/>
  <c r="U36" i="19" s="1"/>
  <c r="G36" i="19"/>
  <c r="O36" i="19"/>
  <c r="P36" i="19" s="1"/>
  <c r="A37" i="19"/>
  <c r="V36" i="19"/>
  <c r="A36" i="27"/>
  <c r="O35" i="27"/>
  <c r="P35" i="27" s="1"/>
  <c r="T35" i="27"/>
  <c r="U35" i="27" s="1"/>
  <c r="I35" i="27"/>
  <c r="J35" i="27" s="1"/>
  <c r="N35" i="27"/>
  <c r="G35" i="27"/>
  <c r="H35" i="27"/>
  <c r="V35" i="27"/>
  <c r="O36" i="24"/>
  <c r="P36" i="24" s="1"/>
  <c r="A37" i="24"/>
  <c r="I36" i="24"/>
  <c r="J36" i="24" s="1"/>
  <c r="T36" i="24"/>
  <c r="U36" i="24" s="1"/>
  <c r="G36" i="24"/>
  <c r="V36" i="24"/>
  <c r="T36" i="20"/>
  <c r="U36" i="20" s="1"/>
  <c r="G36" i="20"/>
  <c r="A37" i="20"/>
  <c r="O36" i="20"/>
  <c r="P36" i="20" s="1"/>
  <c r="I36" i="20"/>
  <c r="J36" i="20" s="1"/>
  <c r="V36" i="20"/>
  <c r="AC33" i="27"/>
  <c r="Q34" i="27"/>
  <c r="O37" i="23"/>
  <c r="P37" i="23" s="1"/>
  <c r="A38" i="23"/>
  <c r="G37" i="23"/>
  <c r="T37" i="23"/>
  <c r="U37" i="23" s="1"/>
  <c r="I37" i="23"/>
  <c r="J37" i="23" s="1"/>
  <c r="V37" i="23"/>
  <c r="U34" i="17"/>
  <c r="U35" i="17" s="1"/>
  <c r="U36" i="17" s="1"/>
  <c r="U37" i="17" s="1"/>
  <c r="U38" i="17" s="1"/>
  <c r="W33" i="27" l="1"/>
  <c r="Z32" i="19"/>
  <c r="Z32" i="22"/>
  <c r="BT28" i="12" s="1"/>
  <c r="K34" i="27"/>
  <c r="M34" i="27" s="1"/>
  <c r="Z32" i="26"/>
  <c r="BT32" i="12" s="1"/>
  <c r="AA31" i="23"/>
  <c r="Z32" i="25"/>
  <c r="BT31" i="12" s="1"/>
  <c r="AA31" i="24"/>
  <c r="Z32" i="24"/>
  <c r="BT30" i="12" s="1"/>
  <c r="AA31" i="22"/>
  <c r="AA31" i="19"/>
  <c r="BS29" i="12"/>
  <c r="AA31" i="26"/>
  <c r="AA32" i="26" s="1"/>
  <c r="Z32" i="20"/>
  <c r="BT26" i="12" s="1"/>
  <c r="AA31" i="25"/>
  <c r="AA32" i="25" s="1"/>
  <c r="AA31" i="20"/>
  <c r="BT33" i="12"/>
  <c r="AA32" i="27"/>
  <c r="W33" i="29"/>
  <c r="X33" i="23"/>
  <c r="M33" i="25"/>
  <c r="X33" i="25" s="1"/>
  <c r="Y33" i="25" s="1"/>
  <c r="K34" i="25"/>
  <c r="W34" i="25" s="1"/>
  <c r="S34" i="27"/>
  <c r="W33" i="25"/>
  <c r="AC33" i="21"/>
  <c r="W33" i="21"/>
  <c r="R34" i="19"/>
  <c r="Q34" i="19"/>
  <c r="S34" i="19" s="1"/>
  <c r="Q34" i="21"/>
  <c r="S34" i="21" s="1"/>
  <c r="R34" i="21"/>
  <c r="N35" i="21"/>
  <c r="H35" i="19"/>
  <c r="H35" i="24"/>
  <c r="N35" i="22"/>
  <c r="N35" i="19"/>
  <c r="H35" i="21"/>
  <c r="N35" i="20"/>
  <c r="H35" i="23"/>
  <c r="N35" i="26"/>
  <c r="H35" i="22"/>
  <c r="H35" i="25"/>
  <c r="L35" i="25" s="1"/>
  <c r="N35" i="24"/>
  <c r="H35" i="26"/>
  <c r="N35" i="23"/>
  <c r="H35" i="20"/>
  <c r="H35" i="29"/>
  <c r="BT25" i="12"/>
  <c r="Q34" i="29"/>
  <c r="R34" i="27"/>
  <c r="M33" i="21"/>
  <c r="X33" i="21" s="1"/>
  <c r="Y33" i="21" s="1"/>
  <c r="L34" i="24"/>
  <c r="K34" i="24"/>
  <c r="M34" i="24" s="1"/>
  <c r="X34" i="24" s="1"/>
  <c r="L34" i="20"/>
  <c r="K34" i="20"/>
  <c r="AC33" i="20"/>
  <c r="W33" i="20"/>
  <c r="M33" i="20"/>
  <c r="X33" i="20" s="1"/>
  <c r="Y33" i="20" s="1"/>
  <c r="S33" i="29"/>
  <c r="X33" i="29" s="1"/>
  <c r="Y33" i="29" s="1"/>
  <c r="L34" i="19"/>
  <c r="K34" i="19"/>
  <c r="L34" i="22"/>
  <c r="K34" i="22"/>
  <c r="L34" i="29"/>
  <c r="K34" i="29"/>
  <c r="Y31" i="21"/>
  <c r="Z31" i="21" s="1"/>
  <c r="Y32" i="21"/>
  <c r="Z32" i="21" s="1"/>
  <c r="R34" i="22"/>
  <c r="Q34" i="22"/>
  <c r="S34" i="22" s="1"/>
  <c r="R34" i="20"/>
  <c r="Q34" i="20"/>
  <c r="S34" i="20" s="1"/>
  <c r="Q34" i="26"/>
  <c r="S34" i="26" s="1"/>
  <c r="R34" i="26"/>
  <c r="X32" i="23"/>
  <c r="Y32" i="23" s="1"/>
  <c r="Z32" i="23" s="1"/>
  <c r="K34" i="21"/>
  <c r="L34" i="21"/>
  <c r="G36" i="29"/>
  <c r="Z36" i="29"/>
  <c r="I36" i="29"/>
  <c r="J36" i="29" s="1"/>
  <c r="O36" i="29"/>
  <c r="P36" i="29" s="1"/>
  <c r="V36" i="29"/>
  <c r="R28" i="1"/>
  <c r="S28" i="1" s="1"/>
  <c r="A37" i="29"/>
  <c r="AA36" i="29"/>
  <c r="T36" i="29"/>
  <c r="U36" i="29" s="1"/>
  <c r="M33" i="26"/>
  <c r="X33" i="26" s="1"/>
  <c r="Y33" i="26" s="1"/>
  <c r="W33" i="26"/>
  <c r="AC33" i="26"/>
  <c r="M33" i="24"/>
  <c r="X33" i="24" s="1"/>
  <c r="Y33" i="24" s="1"/>
  <c r="AC33" i="24"/>
  <c r="W33" i="24"/>
  <c r="K34" i="23"/>
  <c r="W33" i="23"/>
  <c r="AC33" i="23"/>
  <c r="R34" i="24"/>
  <c r="Q34" i="24"/>
  <c r="S34" i="24" s="1"/>
  <c r="N35" i="29"/>
  <c r="L34" i="26"/>
  <c r="K34" i="26"/>
  <c r="R34" i="23"/>
  <c r="Q34" i="23"/>
  <c r="S34" i="23" s="1"/>
  <c r="W33" i="19"/>
  <c r="AC33" i="19"/>
  <c r="M33" i="19"/>
  <c r="X33" i="19" s="1"/>
  <c r="Y33" i="19" s="1"/>
  <c r="M33" i="22"/>
  <c r="X33" i="22" s="1"/>
  <c r="W33" i="22"/>
  <c r="AC33" i="22"/>
  <c r="G37" i="22"/>
  <c r="V37" i="22"/>
  <c r="A38" i="22"/>
  <c r="O37" i="22"/>
  <c r="P37" i="22" s="1"/>
  <c r="I37" i="22"/>
  <c r="J37" i="22" s="1"/>
  <c r="T37" i="22"/>
  <c r="U37" i="22" s="1"/>
  <c r="R35" i="25"/>
  <c r="Q35" i="25"/>
  <c r="T36" i="25"/>
  <c r="U36" i="25" s="1"/>
  <c r="I36" i="25"/>
  <c r="J36" i="25" s="1"/>
  <c r="G36" i="25"/>
  <c r="V36" i="25"/>
  <c r="A37" i="25"/>
  <c r="O36" i="25"/>
  <c r="P36" i="25" s="1"/>
  <c r="T37" i="26"/>
  <c r="U37" i="26" s="1"/>
  <c r="G37" i="26"/>
  <c r="A38" i="26"/>
  <c r="I37" i="26"/>
  <c r="J37" i="26" s="1"/>
  <c r="O37" i="26"/>
  <c r="P37" i="26" s="1"/>
  <c r="V37" i="26"/>
  <c r="I38" i="23"/>
  <c r="J38" i="23" s="1"/>
  <c r="T38" i="23"/>
  <c r="U38" i="23" s="1"/>
  <c r="O38" i="23"/>
  <c r="P38" i="23" s="1"/>
  <c r="G38" i="23"/>
  <c r="A39" i="23"/>
  <c r="V38" i="23"/>
  <c r="T37" i="24"/>
  <c r="U37" i="24" s="1"/>
  <c r="G37" i="24"/>
  <c r="A38" i="24"/>
  <c r="I37" i="24"/>
  <c r="J37" i="24" s="1"/>
  <c r="O37" i="24"/>
  <c r="P37" i="24" s="1"/>
  <c r="V37" i="24"/>
  <c r="R35" i="27"/>
  <c r="Q35" i="27"/>
  <c r="S35" i="27" s="1"/>
  <c r="O37" i="20"/>
  <c r="P37" i="20" s="1"/>
  <c r="T37" i="20"/>
  <c r="U37" i="20" s="1"/>
  <c r="A38" i="20"/>
  <c r="I37" i="20"/>
  <c r="J37" i="20" s="1"/>
  <c r="G37" i="20"/>
  <c r="V37" i="20"/>
  <c r="T36" i="27"/>
  <c r="U36" i="27" s="1"/>
  <c r="H36" i="27"/>
  <c r="A37" i="27"/>
  <c r="N36" i="27"/>
  <c r="G36" i="27"/>
  <c r="I36" i="27"/>
  <c r="J36" i="27" s="1"/>
  <c r="O36" i="27"/>
  <c r="P36" i="27" s="1"/>
  <c r="V36" i="27"/>
  <c r="G37" i="19"/>
  <c r="O37" i="19"/>
  <c r="P37" i="19" s="1"/>
  <c r="I37" i="19"/>
  <c r="J37" i="19" s="1"/>
  <c r="T37" i="19"/>
  <c r="U37" i="19" s="1"/>
  <c r="A38" i="19"/>
  <c r="V37" i="19"/>
  <c r="A39" i="21"/>
  <c r="O38" i="21"/>
  <c r="P38" i="21" s="1"/>
  <c r="I38" i="21"/>
  <c r="J38" i="21" s="1"/>
  <c r="T38" i="21"/>
  <c r="U38" i="21" s="1"/>
  <c r="G38" i="21"/>
  <c r="V38" i="21"/>
  <c r="L35" i="27"/>
  <c r="X34" i="27" l="1"/>
  <c r="Y34" i="27" s="1"/>
  <c r="W34" i="27"/>
  <c r="AA32" i="22"/>
  <c r="AC34" i="27"/>
  <c r="K35" i="27"/>
  <c r="M35" i="27" s="1"/>
  <c r="AA32" i="24"/>
  <c r="AA32" i="19"/>
  <c r="AA32" i="20"/>
  <c r="Y33" i="23"/>
  <c r="Y34" i="24"/>
  <c r="K35" i="25"/>
  <c r="M35" i="25" s="1"/>
  <c r="M34" i="25"/>
  <c r="X34" i="25" s="1"/>
  <c r="Y34" i="25" s="1"/>
  <c r="AC34" i="25"/>
  <c r="Z33" i="19"/>
  <c r="Z33" i="21"/>
  <c r="Z33" i="26"/>
  <c r="Z33" i="24"/>
  <c r="Z33" i="20"/>
  <c r="Z33" i="23"/>
  <c r="Z33" i="25"/>
  <c r="BU31" i="12" s="1"/>
  <c r="Z33" i="27"/>
  <c r="Y33" i="22"/>
  <c r="Z33" i="22" s="1"/>
  <c r="M34" i="29"/>
  <c r="AC34" i="29"/>
  <c r="W34" i="29"/>
  <c r="L35" i="20"/>
  <c r="K35" i="20"/>
  <c r="M35" i="20" s="1"/>
  <c r="R35" i="20"/>
  <c r="Q35" i="20"/>
  <c r="S35" i="20" s="1"/>
  <c r="R35" i="23"/>
  <c r="Q35" i="23"/>
  <c r="S35" i="23" s="1"/>
  <c r="L35" i="21"/>
  <c r="K35" i="21"/>
  <c r="Q35" i="29"/>
  <c r="S34" i="29"/>
  <c r="AC34" i="19"/>
  <c r="M34" i="19"/>
  <c r="X34" i="19" s="1"/>
  <c r="Y34" i="19" s="1"/>
  <c r="W34" i="19"/>
  <c r="L35" i="24"/>
  <c r="K35" i="24"/>
  <c r="G37" i="29"/>
  <c r="A38" i="29"/>
  <c r="R29" i="1"/>
  <c r="S29" i="1" s="1"/>
  <c r="N37" i="27" s="1"/>
  <c r="O37" i="29"/>
  <c r="P37" i="29" s="1"/>
  <c r="T37" i="29"/>
  <c r="U37" i="29" s="1"/>
  <c r="I37" i="29"/>
  <c r="J37" i="29" s="1"/>
  <c r="AA37" i="29"/>
  <c r="Z37" i="29"/>
  <c r="V37" i="29"/>
  <c r="L35" i="22"/>
  <c r="K35" i="22"/>
  <c r="L35" i="19"/>
  <c r="K35" i="19"/>
  <c r="L35" i="26"/>
  <c r="K35" i="26"/>
  <c r="M35" i="26" s="1"/>
  <c r="W34" i="20"/>
  <c r="AC34" i="20"/>
  <c r="R35" i="24"/>
  <c r="Q35" i="24"/>
  <c r="S35" i="24" s="1"/>
  <c r="AA33" i="25"/>
  <c r="W34" i="26"/>
  <c r="M34" i="26"/>
  <c r="X34" i="26" s="1"/>
  <c r="Y34" i="26" s="1"/>
  <c r="AC34" i="26"/>
  <c r="R35" i="29"/>
  <c r="S35" i="29"/>
  <c r="H36" i="29"/>
  <c r="H36" i="26"/>
  <c r="H36" i="23"/>
  <c r="H36" i="24"/>
  <c r="H36" i="25"/>
  <c r="L36" i="25" s="1"/>
  <c r="N36" i="24"/>
  <c r="H36" i="22"/>
  <c r="H36" i="19"/>
  <c r="H36" i="21"/>
  <c r="N36" i="22"/>
  <c r="N36" i="23"/>
  <c r="N36" i="26"/>
  <c r="N36" i="29"/>
  <c r="N36" i="19"/>
  <c r="H36" i="20"/>
  <c r="N36" i="20"/>
  <c r="N36" i="21"/>
  <c r="M34" i="21"/>
  <c r="X34" i="21" s="1"/>
  <c r="Y34" i="21" s="1"/>
  <c r="W34" i="21"/>
  <c r="AC34" i="21"/>
  <c r="BT27" i="12"/>
  <c r="M34" i="20"/>
  <c r="X34" i="20" s="1"/>
  <c r="Y34" i="20" s="1"/>
  <c r="W34" i="24"/>
  <c r="AC34" i="24"/>
  <c r="R35" i="26"/>
  <c r="Q35" i="26"/>
  <c r="S35" i="26" s="1"/>
  <c r="R35" i="21"/>
  <c r="Q35" i="21"/>
  <c r="S35" i="21" s="1"/>
  <c r="M34" i="22"/>
  <c r="X34" i="22" s="1"/>
  <c r="Y34" i="22" s="1"/>
  <c r="AC34" i="22"/>
  <c r="W34" i="22"/>
  <c r="R35" i="19"/>
  <c r="Q35" i="19"/>
  <c r="S35" i="19" s="1"/>
  <c r="M34" i="23"/>
  <c r="X34" i="23" s="1"/>
  <c r="Y34" i="23" s="1"/>
  <c r="AC34" i="23"/>
  <c r="W34" i="23"/>
  <c r="R35" i="22"/>
  <c r="Q35" i="22"/>
  <c r="Q36" i="22" s="1"/>
  <c r="S35" i="25"/>
  <c r="AA32" i="23"/>
  <c r="BT29" i="12"/>
  <c r="BS27" i="12"/>
  <c r="AA31" i="21"/>
  <c r="AA32" i="21" s="1"/>
  <c r="L35" i="29"/>
  <c r="K35" i="29"/>
  <c r="L35" i="23"/>
  <c r="K35" i="23"/>
  <c r="N36" i="25"/>
  <c r="R36" i="25" s="1"/>
  <c r="G38" i="22"/>
  <c r="A39" i="22"/>
  <c r="T38" i="22"/>
  <c r="U38" i="22" s="1"/>
  <c r="I38" i="22"/>
  <c r="J38" i="22" s="1"/>
  <c r="O38" i="22"/>
  <c r="P38" i="22" s="1"/>
  <c r="V38" i="22"/>
  <c r="X35" i="27"/>
  <c r="Y35" i="27" s="1"/>
  <c r="Q36" i="25"/>
  <c r="S36" i="25" s="1"/>
  <c r="T37" i="25"/>
  <c r="U37" i="25" s="1"/>
  <c r="I37" i="25"/>
  <c r="J37" i="25" s="1"/>
  <c r="O37" i="25"/>
  <c r="P37" i="25" s="1"/>
  <c r="A38" i="25"/>
  <c r="G37" i="25"/>
  <c r="V37" i="25"/>
  <c r="O39" i="21"/>
  <c r="P39" i="21" s="1"/>
  <c r="T39" i="21"/>
  <c r="U39" i="21" s="1"/>
  <c r="G39" i="21"/>
  <c r="A40" i="21"/>
  <c r="I39" i="21"/>
  <c r="J39" i="21" s="1"/>
  <c r="V39" i="21"/>
  <c r="R36" i="27"/>
  <c r="Q36" i="27"/>
  <c r="S36" i="27" s="1"/>
  <c r="AC35" i="27"/>
  <c r="O37" i="27"/>
  <c r="P37" i="27" s="1"/>
  <c r="G37" i="27"/>
  <c r="I37" i="27"/>
  <c r="J37" i="27" s="1"/>
  <c r="T37" i="27"/>
  <c r="U37" i="27" s="1"/>
  <c r="A38" i="27"/>
  <c r="V37" i="27"/>
  <c r="O39" i="23"/>
  <c r="P39" i="23" s="1"/>
  <c r="T39" i="23"/>
  <c r="U39" i="23" s="1"/>
  <c r="I39" i="23"/>
  <c r="J39" i="23" s="1"/>
  <c r="G39" i="23"/>
  <c r="A40" i="23"/>
  <c r="V39" i="23"/>
  <c r="A39" i="26"/>
  <c r="O38" i="26"/>
  <c r="P38" i="26" s="1"/>
  <c r="T38" i="26"/>
  <c r="U38" i="26" s="1"/>
  <c r="I38" i="26"/>
  <c r="J38" i="26" s="1"/>
  <c r="G38" i="26"/>
  <c r="V38" i="26"/>
  <c r="L36" i="27"/>
  <c r="G38" i="20"/>
  <c r="O38" i="20"/>
  <c r="P38" i="20" s="1"/>
  <c r="A39" i="20"/>
  <c r="I38" i="20"/>
  <c r="J38" i="20" s="1"/>
  <c r="T38" i="20"/>
  <c r="U38" i="20" s="1"/>
  <c r="V38" i="20"/>
  <c r="O38" i="19"/>
  <c r="P38" i="19" s="1"/>
  <c r="A39" i="19"/>
  <c r="G38" i="19"/>
  <c r="I38" i="19"/>
  <c r="J38" i="19" s="1"/>
  <c r="T38" i="19"/>
  <c r="U38" i="19" s="1"/>
  <c r="V38" i="19"/>
  <c r="T38" i="24"/>
  <c r="U38" i="24" s="1"/>
  <c r="A39" i="24"/>
  <c r="G38" i="24"/>
  <c r="I38" i="24"/>
  <c r="J38" i="24" s="1"/>
  <c r="O38" i="24"/>
  <c r="P38" i="24" s="1"/>
  <c r="V38" i="24"/>
  <c r="K36" i="27" l="1"/>
  <c r="M36" i="27" s="1"/>
  <c r="W35" i="27"/>
  <c r="AC35" i="25"/>
  <c r="W35" i="25"/>
  <c r="X35" i="25"/>
  <c r="Y35" i="25" s="1"/>
  <c r="K36" i="25"/>
  <c r="M36" i="25" s="1"/>
  <c r="X36" i="25" s="1"/>
  <c r="X34" i="29"/>
  <c r="Y34" i="29" s="1"/>
  <c r="Z34" i="25" s="1"/>
  <c r="BV31" i="12" s="1"/>
  <c r="X35" i="26"/>
  <c r="Y35" i="26" s="1"/>
  <c r="M35" i="23"/>
  <c r="X35" i="23" s="1"/>
  <c r="Y35" i="23" s="1"/>
  <c r="AC35" i="23"/>
  <c r="W35" i="23"/>
  <c r="R36" i="22"/>
  <c r="S36" i="22"/>
  <c r="L36" i="26"/>
  <c r="K36" i="26"/>
  <c r="M36" i="26" s="1"/>
  <c r="BU33" i="12"/>
  <c r="AA33" i="27"/>
  <c r="Q36" i="21"/>
  <c r="S36" i="21" s="1"/>
  <c r="R36" i="21"/>
  <c r="L36" i="21"/>
  <c r="K36" i="21"/>
  <c r="L36" i="29"/>
  <c r="K36" i="29"/>
  <c r="M35" i="22"/>
  <c r="W35" i="22"/>
  <c r="AC35" i="22"/>
  <c r="Q36" i="20"/>
  <c r="S36" i="20" s="1"/>
  <c r="R36" i="20"/>
  <c r="L36" i="20"/>
  <c r="K36" i="20"/>
  <c r="M36" i="20" s="1"/>
  <c r="L36" i="22"/>
  <c r="K36" i="22"/>
  <c r="I38" i="29"/>
  <c r="J38" i="29" s="1"/>
  <c r="Z38" i="29"/>
  <c r="V38" i="29"/>
  <c r="AA38" i="29"/>
  <c r="G38" i="29"/>
  <c r="T38" i="29"/>
  <c r="U38" i="29" s="1"/>
  <c r="O38" i="29"/>
  <c r="P38" i="29" s="1"/>
  <c r="R30" i="1"/>
  <c r="S30" i="1" s="1"/>
  <c r="N38" i="27" s="1"/>
  <c r="A39" i="29"/>
  <c r="AA33" i="20"/>
  <c r="BU26" i="12"/>
  <c r="R36" i="19"/>
  <c r="Q36" i="19"/>
  <c r="S36" i="19" s="1"/>
  <c r="Q36" i="24"/>
  <c r="S36" i="24" s="1"/>
  <c r="R36" i="24"/>
  <c r="Z34" i="21"/>
  <c r="BU28" i="12"/>
  <c r="AA33" i="22"/>
  <c r="BU30" i="12"/>
  <c r="AA33" i="24"/>
  <c r="L36" i="19"/>
  <c r="K36" i="19"/>
  <c r="S35" i="22"/>
  <c r="R36" i="26"/>
  <c r="Q36" i="26"/>
  <c r="S36" i="26" s="1"/>
  <c r="L36" i="24"/>
  <c r="K36" i="24"/>
  <c r="W35" i="24"/>
  <c r="AC35" i="24"/>
  <c r="M35" i="24"/>
  <c r="X35" i="24" s="1"/>
  <c r="Y35" i="24" s="1"/>
  <c r="M35" i="21"/>
  <c r="X35" i="21" s="1"/>
  <c r="Y35" i="21" s="1"/>
  <c r="W35" i="21"/>
  <c r="AC35" i="21"/>
  <c r="BU27" i="12"/>
  <c r="AA33" i="21"/>
  <c r="M35" i="29"/>
  <c r="X35" i="29" s="1"/>
  <c r="W35" i="29"/>
  <c r="AC35" i="29"/>
  <c r="N37" i="29"/>
  <c r="N37" i="22"/>
  <c r="H37" i="19"/>
  <c r="H37" i="21"/>
  <c r="N37" i="26"/>
  <c r="N37" i="21"/>
  <c r="N37" i="24"/>
  <c r="N37" i="20"/>
  <c r="H37" i="20"/>
  <c r="H37" i="29"/>
  <c r="N37" i="19"/>
  <c r="H37" i="26"/>
  <c r="H37" i="24"/>
  <c r="N37" i="23"/>
  <c r="H37" i="22"/>
  <c r="H37" i="23"/>
  <c r="BU29" i="12"/>
  <c r="AA33" i="23"/>
  <c r="R36" i="29"/>
  <c r="Q36" i="29"/>
  <c r="S36" i="29" s="1"/>
  <c r="AC35" i="26"/>
  <c r="W35" i="26"/>
  <c r="X35" i="20"/>
  <c r="Y35" i="20" s="1"/>
  <c r="AC35" i="20"/>
  <c r="W35" i="20"/>
  <c r="BU32" i="12"/>
  <c r="AA33" i="26"/>
  <c r="H37" i="27"/>
  <c r="N37" i="25"/>
  <c r="Q37" i="25" s="1"/>
  <c r="R36" i="23"/>
  <c r="Q36" i="23"/>
  <c r="S36" i="23" s="1"/>
  <c r="L36" i="23"/>
  <c r="K36" i="23"/>
  <c r="H37" i="25"/>
  <c r="L37" i="25" s="1"/>
  <c r="M35" i="19"/>
  <c r="X35" i="19" s="1"/>
  <c r="Y35" i="19" s="1"/>
  <c r="W35" i="19"/>
  <c r="AC35" i="19"/>
  <c r="AA33" i="19"/>
  <c r="BU25" i="12"/>
  <c r="O39" i="22"/>
  <c r="P39" i="22" s="1"/>
  <c r="G39" i="22"/>
  <c r="A40" i="22"/>
  <c r="V39" i="22"/>
  <c r="T39" i="22"/>
  <c r="U39" i="22" s="1"/>
  <c r="I39" i="22"/>
  <c r="J39" i="22" s="1"/>
  <c r="X36" i="27"/>
  <c r="Y36" i="27" s="1"/>
  <c r="R37" i="25"/>
  <c r="O38" i="25"/>
  <c r="P38" i="25" s="1"/>
  <c r="V38" i="25"/>
  <c r="A39" i="25"/>
  <c r="I38" i="25"/>
  <c r="J38" i="25" s="1"/>
  <c r="G38" i="25"/>
  <c r="T38" i="25"/>
  <c r="U38" i="25" s="1"/>
  <c r="AC36" i="27"/>
  <c r="W36" i="27"/>
  <c r="T40" i="23"/>
  <c r="D43" i="23"/>
  <c r="O40" i="23"/>
  <c r="P40" i="23" s="1"/>
  <c r="I40" i="23"/>
  <c r="J40" i="23" s="1"/>
  <c r="G40" i="23"/>
  <c r="G43" i="23" s="1"/>
  <c r="V40" i="23"/>
  <c r="T38" i="27"/>
  <c r="U38" i="27" s="1"/>
  <c r="O38" i="27"/>
  <c r="P38" i="27" s="1"/>
  <c r="A39" i="27"/>
  <c r="I38" i="27"/>
  <c r="J38" i="27" s="1"/>
  <c r="H38" i="27"/>
  <c r="G38" i="27"/>
  <c r="V38" i="27"/>
  <c r="G40" i="21"/>
  <c r="G43" i="21" s="1"/>
  <c r="I40" i="21"/>
  <c r="J40" i="21" s="1"/>
  <c r="O40" i="21"/>
  <c r="P40" i="21" s="1"/>
  <c r="T40" i="21"/>
  <c r="D43" i="21"/>
  <c r="V40" i="21"/>
  <c r="G39" i="20"/>
  <c r="O39" i="20"/>
  <c r="P39" i="20" s="1"/>
  <c r="T39" i="20"/>
  <c r="U39" i="20" s="1"/>
  <c r="I39" i="20"/>
  <c r="J39" i="20" s="1"/>
  <c r="A40" i="20"/>
  <c r="V39" i="20"/>
  <c r="G39" i="26"/>
  <c r="T39" i="26"/>
  <c r="U39" i="26" s="1"/>
  <c r="O39" i="26"/>
  <c r="P39" i="26" s="1"/>
  <c r="A40" i="26"/>
  <c r="I39" i="26"/>
  <c r="J39" i="26" s="1"/>
  <c r="V39" i="26"/>
  <c r="R37" i="27"/>
  <c r="Q37" i="27"/>
  <c r="S37" i="27" s="1"/>
  <c r="L37" i="27"/>
  <c r="K37" i="27"/>
  <c r="G39" i="24"/>
  <c r="I39" i="24"/>
  <c r="J39" i="24" s="1"/>
  <c r="O39" i="24"/>
  <c r="P39" i="24" s="1"/>
  <c r="T39" i="24"/>
  <c r="U39" i="24" s="1"/>
  <c r="A40" i="24"/>
  <c r="V39" i="24"/>
  <c r="G39" i="19"/>
  <c r="I39" i="19"/>
  <c r="J39" i="19" s="1"/>
  <c r="O39" i="19"/>
  <c r="P39" i="19" s="1"/>
  <c r="A40" i="19"/>
  <c r="T39" i="19"/>
  <c r="U39" i="19" s="1"/>
  <c r="V39" i="19"/>
  <c r="Y36" i="25" l="1"/>
  <c r="W36" i="25"/>
  <c r="AC36" i="25"/>
  <c r="Z34" i="24"/>
  <c r="AA34" i="24" s="1"/>
  <c r="AA34" i="25"/>
  <c r="Z34" i="22"/>
  <c r="BV28" i="12" s="1"/>
  <c r="Z34" i="19"/>
  <c r="BV25" i="12" s="1"/>
  <c r="Z34" i="23"/>
  <c r="BV29" i="12" s="1"/>
  <c r="Z34" i="20"/>
  <c r="AA34" i="20" s="1"/>
  <c r="K37" i="25"/>
  <c r="M37" i="25" s="1"/>
  <c r="H38" i="29"/>
  <c r="L38" i="29" s="1"/>
  <c r="N38" i="29"/>
  <c r="Y35" i="29"/>
  <c r="Z35" i="19" s="1"/>
  <c r="BW25" i="12" s="1"/>
  <c r="Z34" i="26"/>
  <c r="BV32" i="12" s="1"/>
  <c r="Z34" i="27"/>
  <c r="X35" i="22"/>
  <c r="Y35" i="22" s="1"/>
  <c r="X36" i="20"/>
  <c r="Y36" i="20" s="1"/>
  <c r="AC36" i="23"/>
  <c r="W36" i="23"/>
  <c r="L37" i="26"/>
  <c r="K37" i="26"/>
  <c r="W36" i="19"/>
  <c r="AC36" i="19"/>
  <c r="R37" i="19"/>
  <c r="Q37" i="19"/>
  <c r="S37" i="19" s="1"/>
  <c r="L37" i="29"/>
  <c r="K37" i="29"/>
  <c r="M36" i="29"/>
  <c r="X36" i="29" s="1"/>
  <c r="Y36" i="29" s="1"/>
  <c r="Z36" i="27" s="1"/>
  <c r="W36" i="29"/>
  <c r="AC36" i="29"/>
  <c r="K37" i="20"/>
  <c r="L37" i="20"/>
  <c r="K37" i="23"/>
  <c r="L37" i="23"/>
  <c r="R37" i="20"/>
  <c r="Q37" i="20"/>
  <c r="S37" i="20" s="1"/>
  <c r="Z35" i="23"/>
  <c r="R31" i="1"/>
  <c r="S31" i="1" s="1"/>
  <c r="H39" i="27" s="1"/>
  <c r="A40" i="29"/>
  <c r="AA39" i="29"/>
  <c r="O39" i="29"/>
  <c r="P39" i="29" s="1"/>
  <c r="Z39" i="29"/>
  <c r="T39" i="29"/>
  <c r="U39" i="29" s="1"/>
  <c r="I39" i="29"/>
  <c r="J39" i="29" s="1"/>
  <c r="V39" i="29"/>
  <c r="G39" i="29"/>
  <c r="K37" i="21"/>
  <c r="M37" i="21" s="1"/>
  <c r="W36" i="21"/>
  <c r="AC36" i="21"/>
  <c r="W36" i="24"/>
  <c r="M36" i="24"/>
  <c r="X36" i="24" s="1"/>
  <c r="Y36" i="24" s="1"/>
  <c r="AC36" i="24"/>
  <c r="Z36" i="25"/>
  <c r="BX31" i="12" s="1"/>
  <c r="R37" i="22"/>
  <c r="Q37" i="22"/>
  <c r="S37" i="22" s="1"/>
  <c r="X36" i="26"/>
  <c r="Y36" i="26" s="1"/>
  <c r="L37" i="22"/>
  <c r="K37" i="22"/>
  <c r="R37" i="24"/>
  <c r="Q37" i="24"/>
  <c r="S37" i="24" s="1"/>
  <c r="L37" i="21"/>
  <c r="L37" i="19"/>
  <c r="K37" i="19"/>
  <c r="R37" i="29"/>
  <c r="Q37" i="29"/>
  <c r="Q38" i="29" s="1"/>
  <c r="S38" i="29" s="1"/>
  <c r="AA34" i="21"/>
  <c r="BV27" i="12"/>
  <c r="R37" i="23"/>
  <c r="Q37" i="23"/>
  <c r="S37" i="23" s="1"/>
  <c r="Q37" i="21"/>
  <c r="R37" i="21"/>
  <c r="H38" i="23"/>
  <c r="N38" i="23"/>
  <c r="R38" i="23" s="1"/>
  <c r="N38" i="19"/>
  <c r="N38" i="22"/>
  <c r="N38" i="20"/>
  <c r="H38" i="24"/>
  <c r="H38" i="25"/>
  <c r="L38" i="25" s="1"/>
  <c r="N38" i="21"/>
  <c r="H38" i="21"/>
  <c r="H38" i="22"/>
  <c r="H38" i="26"/>
  <c r="N38" i="26"/>
  <c r="H38" i="20"/>
  <c r="H38" i="19"/>
  <c r="N38" i="24"/>
  <c r="AC36" i="22"/>
  <c r="M36" i="22"/>
  <c r="X36" i="22" s="1"/>
  <c r="W36" i="22"/>
  <c r="M36" i="21"/>
  <c r="X36" i="21" s="1"/>
  <c r="Y36" i="21" s="1"/>
  <c r="AC36" i="26"/>
  <c r="W36" i="26"/>
  <c r="AC36" i="20"/>
  <c r="W36" i="20"/>
  <c r="M36" i="23"/>
  <c r="X36" i="23" s="1"/>
  <c r="Y36" i="23" s="1"/>
  <c r="M36" i="19"/>
  <c r="X36" i="19" s="1"/>
  <c r="Y36" i="19" s="1"/>
  <c r="L37" i="24"/>
  <c r="K37" i="24"/>
  <c r="Q37" i="26"/>
  <c r="S37" i="26" s="1"/>
  <c r="R37" i="26"/>
  <c r="R38" i="29"/>
  <c r="N38" i="25"/>
  <c r="R38" i="25" s="1"/>
  <c r="D43" i="22"/>
  <c r="O40" i="22"/>
  <c r="P40" i="22" s="1"/>
  <c r="T40" i="22"/>
  <c r="G40" i="22"/>
  <c r="G43" i="22" s="1"/>
  <c r="I40" i="22"/>
  <c r="J40" i="22" s="1"/>
  <c r="V40" i="22"/>
  <c r="I39" i="25"/>
  <c r="J39" i="25" s="1"/>
  <c r="G39" i="25"/>
  <c r="A40" i="25"/>
  <c r="T39" i="25"/>
  <c r="V39" i="25"/>
  <c r="O39" i="25"/>
  <c r="P39" i="25" s="1"/>
  <c r="S37" i="25"/>
  <c r="W37" i="27"/>
  <c r="AC37" i="27"/>
  <c r="O40" i="26"/>
  <c r="P40" i="26" s="1"/>
  <c r="G40" i="26"/>
  <c r="G43" i="26" s="1"/>
  <c r="I40" i="26"/>
  <c r="J40" i="26" s="1"/>
  <c r="T40" i="26"/>
  <c r="D43" i="26"/>
  <c r="V40" i="26"/>
  <c r="U40" i="21"/>
  <c r="U43" i="21" s="1"/>
  <c r="N14" i="12" s="1"/>
  <c r="T43" i="21"/>
  <c r="L38" i="27"/>
  <c r="K38" i="27"/>
  <c r="R38" i="27"/>
  <c r="Q38" i="27"/>
  <c r="S38" i="27" s="1"/>
  <c r="O39" i="27"/>
  <c r="P39" i="27" s="1"/>
  <c r="A40" i="27"/>
  <c r="T39" i="27"/>
  <c r="U39" i="27" s="1"/>
  <c r="G39" i="27"/>
  <c r="I39" i="27"/>
  <c r="J39" i="27" s="1"/>
  <c r="V39" i="27"/>
  <c r="G40" i="20"/>
  <c r="G43" i="20" s="1"/>
  <c r="D43" i="20"/>
  <c r="I40" i="20"/>
  <c r="J40" i="20" s="1"/>
  <c r="O40" i="20"/>
  <c r="P40" i="20" s="1"/>
  <c r="T40" i="20"/>
  <c r="V40" i="20"/>
  <c r="E16" i="12"/>
  <c r="T16" i="12"/>
  <c r="T40" i="19"/>
  <c r="O40" i="19"/>
  <c r="P40" i="19" s="1"/>
  <c r="I40" i="19"/>
  <c r="J40" i="19" s="1"/>
  <c r="G40" i="19"/>
  <c r="G43" i="19" s="1"/>
  <c r="D43" i="19"/>
  <c r="V40" i="19"/>
  <c r="I40" i="24"/>
  <c r="J40" i="24" s="1"/>
  <c r="D43" i="24"/>
  <c r="O40" i="24"/>
  <c r="P40" i="24" s="1"/>
  <c r="G40" i="24"/>
  <c r="G43" i="24" s="1"/>
  <c r="T40" i="24"/>
  <c r="V40" i="24"/>
  <c r="M37" i="27"/>
  <c r="X37" i="27" s="1"/>
  <c r="Y37" i="27" s="1"/>
  <c r="E14" i="12"/>
  <c r="T14" i="12"/>
  <c r="U40" i="23"/>
  <c r="U43" i="23" s="1"/>
  <c r="N16" i="12" s="1"/>
  <c r="T43" i="23"/>
  <c r="BV30" i="12" l="1"/>
  <c r="W37" i="25"/>
  <c r="AC37" i="25"/>
  <c r="X37" i="25"/>
  <c r="Y37" i="25" s="1"/>
  <c r="Z36" i="21"/>
  <c r="BX27" i="12" s="1"/>
  <c r="AA34" i="22"/>
  <c r="AA34" i="19"/>
  <c r="AA35" i="19" s="1"/>
  <c r="Y36" i="22"/>
  <c r="Z36" i="22" s="1"/>
  <c r="BX28" i="12" s="1"/>
  <c r="Z36" i="19"/>
  <c r="BX25" i="12" s="1"/>
  <c r="Z36" i="24"/>
  <c r="BX30" i="12" s="1"/>
  <c r="Z36" i="23"/>
  <c r="BX29" i="12" s="1"/>
  <c r="AA34" i="23"/>
  <c r="AA35" i="23" s="1"/>
  <c r="BV26" i="12"/>
  <c r="Z36" i="26"/>
  <c r="BX32" i="12" s="1"/>
  <c r="AA34" i="26"/>
  <c r="Z35" i="27"/>
  <c r="BW33" i="12" s="1"/>
  <c r="Z35" i="20"/>
  <c r="BW26" i="12" s="1"/>
  <c r="Z35" i="26"/>
  <c r="BW32" i="12" s="1"/>
  <c r="Z35" i="25"/>
  <c r="AA35" i="25" s="1"/>
  <c r="AA36" i="25" s="1"/>
  <c r="H39" i="25"/>
  <c r="L39" i="25" s="1"/>
  <c r="Z35" i="24"/>
  <c r="AA35" i="24" s="1"/>
  <c r="Z35" i="21"/>
  <c r="AA35" i="21" s="1"/>
  <c r="AA36" i="21" s="1"/>
  <c r="N39" i="27"/>
  <c r="K38" i="25"/>
  <c r="M38" i="25" s="1"/>
  <c r="Z35" i="22"/>
  <c r="BW28" i="12" s="1"/>
  <c r="BV33" i="12"/>
  <c r="AA34" i="27"/>
  <c r="BX33" i="12"/>
  <c r="M37" i="26"/>
  <c r="X37" i="26" s="1"/>
  <c r="Y37" i="26" s="1"/>
  <c r="W37" i="26"/>
  <c r="AC37" i="26"/>
  <c r="R38" i="21"/>
  <c r="Q38" i="21"/>
  <c r="S38" i="21" s="1"/>
  <c r="Z40" i="29"/>
  <c r="AA40" i="29"/>
  <c r="R32" i="1"/>
  <c r="S32" i="1" s="1"/>
  <c r="N40" i="27" s="1"/>
  <c r="I40" i="29"/>
  <c r="J40" i="29" s="1"/>
  <c r="T40" i="29"/>
  <c r="U40" i="29" s="1"/>
  <c r="U43" i="29" s="1"/>
  <c r="N11" i="12" s="1"/>
  <c r="N27" i="12" s="1"/>
  <c r="D43" i="29"/>
  <c r="G40" i="29"/>
  <c r="G43" i="29" s="1"/>
  <c r="O40" i="29"/>
  <c r="P40" i="29" s="1"/>
  <c r="V40" i="29"/>
  <c r="AC37" i="23"/>
  <c r="M37" i="23"/>
  <c r="X37" i="23" s="1"/>
  <c r="Y37" i="23" s="1"/>
  <c r="W37" i="23"/>
  <c r="AC37" i="29"/>
  <c r="W37" i="29"/>
  <c r="K38" i="29"/>
  <c r="M37" i="29"/>
  <c r="R38" i="24"/>
  <c r="Q38" i="24"/>
  <c r="S38" i="24" s="1"/>
  <c r="S37" i="29"/>
  <c r="H39" i="21"/>
  <c r="H39" i="29"/>
  <c r="N39" i="26"/>
  <c r="N39" i="24"/>
  <c r="N39" i="19"/>
  <c r="N39" i="23"/>
  <c r="N39" i="20"/>
  <c r="N39" i="25"/>
  <c r="R39" i="25" s="1"/>
  <c r="N39" i="29"/>
  <c r="H39" i="23"/>
  <c r="N39" i="22"/>
  <c r="H39" i="26"/>
  <c r="H39" i="24"/>
  <c r="N39" i="21"/>
  <c r="H39" i="19"/>
  <c r="H39" i="20"/>
  <c r="H39" i="22"/>
  <c r="L38" i="24"/>
  <c r="K38" i="24"/>
  <c r="M38" i="24" s="1"/>
  <c r="M37" i="24"/>
  <c r="X37" i="24" s="1"/>
  <c r="Y37" i="24" s="1"/>
  <c r="AC37" i="24"/>
  <c r="W37" i="24"/>
  <c r="L38" i="20"/>
  <c r="K38" i="20"/>
  <c r="M38" i="20" s="1"/>
  <c r="M37" i="22"/>
  <c r="X37" i="22" s="1"/>
  <c r="Y37" i="22" s="1"/>
  <c r="W37" i="22"/>
  <c r="AC37" i="22"/>
  <c r="Q38" i="26"/>
  <c r="S38" i="26" s="1"/>
  <c r="R38" i="26"/>
  <c r="R38" i="22"/>
  <c r="Q38" i="22"/>
  <c r="W37" i="19"/>
  <c r="AC37" i="19"/>
  <c r="W37" i="20"/>
  <c r="AC37" i="20"/>
  <c r="M37" i="20"/>
  <c r="X37" i="20" s="1"/>
  <c r="Y37" i="20" s="1"/>
  <c r="Q38" i="25"/>
  <c r="S38" i="25" s="1"/>
  <c r="L38" i="26"/>
  <c r="K38" i="26"/>
  <c r="R38" i="19"/>
  <c r="Q38" i="19"/>
  <c r="S38" i="19" s="1"/>
  <c r="Q38" i="23"/>
  <c r="S38" i="23" s="1"/>
  <c r="L38" i="19"/>
  <c r="K38" i="19"/>
  <c r="M38" i="19" s="1"/>
  <c r="BW29" i="12"/>
  <c r="Q38" i="20"/>
  <c r="S38" i="20" s="1"/>
  <c r="R38" i="20"/>
  <c r="K38" i="22"/>
  <c r="L38" i="22"/>
  <c r="AC37" i="21"/>
  <c r="Z36" i="20"/>
  <c r="W37" i="21"/>
  <c r="S37" i="21"/>
  <c r="X37" i="21" s="1"/>
  <c r="Y37" i="21" s="1"/>
  <c r="L38" i="21"/>
  <c r="K38" i="21"/>
  <c r="L38" i="23"/>
  <c r="K38" i="23"/>
  <c r="M37" i="19"/>
  <c r="X37" i="19" s="1"/>
  <c r="Y37" i="19" s="1"/>
  <c r="U40" i="22"/>
  <c r="U43" i="22" s="1"/>
  <c r="N15" i="12" s="1"/>
  <c r="T43" i="22"/>
  <c r="E15" i="12"/>
  <c r="T15" i="12"/>
  <c r="U39" i="25"/>
  <c r="O40" i="25"/>
  <c r="P40" i="25" s="1"/>
  <c r="T40" i="25"/>
  <c r="U40" i="25" s="1"/>
  <c r="D43" i="25"/>
  <c r="I40" i="25"/>
  <c r="J40" i="25" s="1"/>
  <c r="G40" i="25"/>
  <c r="G43" i="25" s="1"/>
  <c r="V40" i="25"/>
  <c r="U40" i="24"/>
  <c r="U43" i="24" s="1"/>
  <c r="N17" i="12" s="1"/>
  <c r="T43" i="24"/>
  <c r="R39" i="27"/>
  <c r="Q39" i="27"/>
  <c r="W38" i="27"/>
  <c r="AC38" i="27"/>
  <c r="U40" i="19"/>
  <c r="U43" i="19" s="1"/>
  <c r="N12" i="12" s="1"/>
  <c r="T43" i="19"/>
  <c r="L39" i="27"/>
  <c r="K39" i="27"/>
  <c r="U40" i="26"/>
  <c r="U43" i="26" s="1"/>
  <c r="N19" i="12" s="1"/>
  <c r="T43" i="26"/>
  <c r="U40" i="20"/>
  <c r="U43" i="20" s="1"/>
  <c r="N13" i="12" s="1"/>
  <c r="T43" i="20"/>
  <c r="E17" i="12"/>
  <c r="T17" i="12"/>
  <c r="T12" i="12"/>
  <c r="E12" i="12"/>
  <c r="E13" i="12"/>
  <c r="T13" i="12"/>
  <c r="O40" i="27"/>
  <c r="P40" i="27" s="1"/>
  <c r="G40" i="27"/>
  <c r="G43" i="27" s="1"/>
  <c r="I40" i="27"/>
  <c r="J40" i="27" s="1"/>
  <c r="D43" i="27"/>
  <c r="T40" i="27"/>
  <c r="V40" i="27"/>
  <c r="M38" i="27"/>
  <c r="X38" i="27" s="1"/>
  <c r="Y38" i="27" s="1"/>
  <c r="T19" i="12"/>
  <c r="E19" i="12"/>
  <c r="N32" i="12" l="1"/>
  <c r="N30" i="12"/>
  <c r="N29" i="12"/>
  <c r="X38" i="25"/>
  <c r="Y38" i="25" s="1"/>
  <c r="K39" i="25"/>
  <c r="AA36" i="19"/>
  <c r="AA35" i="27"/>
  <c r="AA36" i="27" s="1"/>
  <c r="AA36" i="23"/>
  <c r="AA36" i="24"/>
  <c r="BW31" i="12"/>
  <c r="AA35" i="26"/>
  <c r="AA36" i="26" s="1"/>
  <c r="N25" i="12"/>
  <c r="AK25" i="12" s="1"/>
  <c r="AK36" i="12" s="1"/>
  <c r="BW30" i="12"/>
  <c r="T43" i="29"/>
  <c r="AA35" i="20"/>
  <c r="AA36" i="20" s="1"/>
  <c r="BW27" i="12"/>
  <c r="AA35" i="22"/>
  <c r="AA36" i="22" s="1"/>
  <c r="N26" i="12"/>
  <c r="N28" i="12"/>
  <c r="W38" i="25"/>
  <c r="AC38" i="25"/>
  <c r="X38" i="20"/>
  <c r="Y38" i="20" s="1"/>
  <c r="H40" i="27"/>
  <c r="H43" i="27" s="1"/>
  <c r="L39" i="19"/>
  <c r="K39" i="19"/>
  <c r="M39" i="19" s="1"/>
  <c r="R39" i="20"/>
  <c r="Q39" i="20"/>
  <c r="S39" i="20" s="1"/>
  <c r="Q39" i="21"/>
  <c r="S39" i="21" s="1"/>
  <c r="R39" i="21"/>
  <c r="R39" i="23"/>
  <c r="Q39" i="23"/>
  <c r="S39" i="23"/>
  <c r="Q39" i="25"/>
  <c r="S39" i="25" s="1"/>
  <c r="N43" i="23"/>
  <c r="M38" i="21"/>
  <c r="X38" i="21" s="1"/>
  <c r="Y38" i="21" s="1"/>
  <c r="W38" i="21"/>
  <c r="AC38" i="21"/>
  <c r="BX26" i="12"/>
  <c r="S38" i="22"/>
  <c r="W38" i="24"/>
  <c r="AC38" i="24"/>
  <c r="L39" i="24"/>
  <c r="K39" i="24"/>
  <c r="R39" i="19"/>
  <c r="Q39" i="19"/>
  <c r="X37" i="29"/>
  <c r="Y37" i="29" s="1"/>
  <c r="W38" i="23"/>
  <c r="M38" i="23"/>
  <c r="X38" i="23" s="1"/>
  <c r="Y38" i="23" s="1"/>
  <c r="AC38" i="23"/>
  <c r="H40" i="29"/>
  <c r="X38" i="24"/>
  <c r="Y38" i="24" s="1"/>
  <c r="AC38" i="26"/>
  <c r="W38" i="26"/>
  <c r="M38" i="26"/>
  <c r="X38" i="26" s="1"/>
  <c r="Y38" i="26" s="1"/>
  <c r="L39" i="26"/>
  <c r="K39" i="26"/>
  <c r="R39" i="24"/>
  <c r="Q39" i="24"/>
  <c r="S39" i="24" s="1"/>
  <c r="AC38" i="29"/>
  <c r="M38" i="29"/>
  <c r="X38" i="29" s="1"/>
  <c r="W38" i="29"/>
  <c r="T26" i="12"/>
  <c r="R39" i="22"/>
  <c r="Q39" i="22"/>
  <c r="S39" i="22"/>
  <c r="Q39" i="26"/>
  <c r="R39" i="26"/>
  <c r="T11" i="12"/>
  <c r="T30" i="12" s="1"/>
  <c r="E11" i="12"/>
  <c r="E30" i="12"/>
  <c r="E32" i="12"/>
  <c r="M38" i="22"/>
  <c r="AC38" i="22"/>
  <c r="W38" i="22"/>
  <c r="W38" i="20"/>
  <c r="AC38" i="20"/>
  <c r="L39" i="23"/>
  <c r="L43" i="23" s="1"/>
  <c r="H43" i="23"/>
  <c r="K39" i="23"/>
  <c r="L39" i="29"/>
  <c r="K39" i="29"/>
  <c r="K39" i="20"/>
  <c r="L39" i="20"/>
  <c r="H40" i="23"/>
  <c r="L40" i="23" s="1"/>
  <c r="N40" i="23"/>
  <c r="N40" i="21"/>
  <c r="N40" i="24"/>
  <c r="N40" i="22"/>
  <c r="N40" i="19"/>
  <c r="N40" i="25"/>
  <c r="R40" i="25" s="1"/>
  <c r="R43" i="25" s="1"/>
  <c r="H40" i="24"/>
  <c r="H40" i="25"/>
  <c r="H40" i="26"/>
  <c r="H40" i="21"/>
  <c r="H43" i="21" s="1"/>
  <c r="N40" i="20"/>
  <c r="H40" i="22"/>
  <c r="H40" i="19"/>
  <c r="N40" i="26"/>
  <c r="N40" i="29"/>
  <c r="H40" i="20"/>
  <c r="H43" i="20" s="1"/>
  <c r="E28" i="12"/>
  <c r="X38" i="19"/>
  <c r="Y38" i="19" s="1"/>
  <c r="W38" i="19"/>
  <c r="AC38" i="19"/>
  <c r="L39" i="22"/>
  <c r="K39" i="22"/>
  <c r="R39" i="29"/>
  <c r="Q39" i="29"/>
  <c r="S39" i="29" s="1"/>
  <c r="L39" i="21"/>
  <c r="K39" i="21"/>
  <c r="S39" i="27"/>
  <c r="M39" i="25"/>
  <c r="T43" i="25"/>
  <c r="E18" i="12"/>
  <c r="T18" i="12"/>
  <c r="T31" i="12" s="1"/>
  <c r="U43" i="25"/>
  <c r="N18" i="12" s="1"/>
  <c r="N31" i="12" s="1"/>
  <c r="M39" i="27"/>
  <c r="AC39" i="27"/>
  <c r="W39" i="27"/>
  <c r="T20" i="12"/>
  <c r="E20" i="12"/>
  <c r="L40" i="27"/>
  <c r="L43" i="27" s="1"/>
  <c r="U40" i="27"/>
  <c r="U43" i="27" s="1"/>
  <c r="N20" i="12" s="1"/>
  <c r="N33" i="12" s="1"/>
  <c r="T43" i="27"/>
  <c r="R40" i="27"/>
  <c r="R43" i="27" s="1"/>
  <c r="N43" i="27"/>
  <c r="Q40" i="27"/>
  <c r="S40" i="27" s="1"/>
  <c r="T32" i="12" l="1"/>
  <c r="E33" i="12"/>
  <c r="T33" i="12"/>
  <c r="E31" i="12"/>
  <c r="W39" i="25"/>
  <c r="X38" i="22"/>
  <c r="Y38" i="22" s="1"/>
  <c r="Y38" i="29"/>
  <c r="Z38" i="27" s="1"/>
  <c r="BZ33" i="12" s="1"/>
  <c r="Q40" i="26"/>
  <c r="S40" i="26" s="1"/>
  <c r="N43" i="26"/>
  <c r="R40" i="26"/>
  <c r="R43" i="26" s="1"/>
  <c r="W39" i="20"/>
  <c r="AC39" i="20"/>
  <c r="H43" i="29"/>
  <c r="K40" i="29"/>
  <c r="L40" i="29"/>
  <c r="L43" i="29" s="1"/>
  <c r="M39" i="24"/>
  <c r="W39" i="24"/>
  <c r="AC39" i="24"/>
  <c r="K40" i="19"/>
  <c r="L40" i="19"/>
  <c r="L43" i="19" s="1"/>
  <c r="H43" i="19"/>
  <c r="Q40" i="19"/>
  <c r="S40" i="19" s="1"/>
  <c r="N43" i="19"/>
  <c r="R40" i="19"/>
  <c r="R43" i="19" s="1"/>
  <c r="AC39" i="26"/>
  <c r="W39" i="26"/>
  <c r="M39" i="26"/>
  <c r="K40" i="22"/>
  <c r="L40" i="22"/>
  <c r="L43" i="22" s="1"/>
  <c r="H43" i="22"/>
  <c r="M39" i="20"/>
  <c r="X39" i="20" s="1"/>
  <c r="Y39" i="20" s="1"/>
  <c r="N43" i="20"/>
  <c r="N43" i="25"/>
  <c r="L40" i="21"/>
  <c r="L43" i="21" s="1"/>
  <c r="K40" i="21"/>
  <c r="N43" i="21"/>
  <c r="R40" i="21"/>
  <c r="R43" i="21" s="1"/>
  <c r="Q40" i="21"/>
  <c r="K40" i="23"/>
  <c r="K43" i="23" s="1"/>
  <c r="M39" i="23"/>
  <c r="X39" i="23" s="1"/>
  <c r="Y39" i="23" s="1"/>
  <c r="AC39" i="23"/>
  <c r="W39" i="23"/>
  <c r="T28" i="12"/>
  <c r="E27" i="12"/>
  <c r="E29" i="12"/>
  <c r="E25" i="12"/>
  <c r="AB25" i="12" s="1"/>
  <c r="AB36" i="12" s="1"/>
  <c r="AC39" i="29"/>
  <c r="W39" i="29"/>
  <c r="M39" i="29"/>
  <c r="R40" i="24"/>
  <c r="R43" i="24" s="1"/>
  <c r="Q40" i="24"/>
  <c r="H43" i="26"/>
  <c r="K40" i="26"/>
  <c r="L40" i="26"/>
  <c r="L43" i="26" s="1"/>
  <c r="M39" i="22"/>
  <c r="X39" i="22" s="1"/>
  <c r="Y39" i="22" s="1"/>
  <c r="W39" i="22"/>
  <c r="AC39" i="22"/>
  <c r="L40" i="20"/>
  <c r="L43" i="20" s="1"/>
  <c r="K40" i="20"/>
  <c r="H43" i="25"/>
  <c r="L40" i="25"/>
  <c r="L43" i="25" s="1"/>
  <c r="N43" i="24"/>
  <c r="S39" i="19"/>
  <c r="X39" i="19" s="1"/>
  <c r="Q43" i="19"/>
  <c r="W39" i="19"/>
  <c r="AC39" i="19"/>
  <c r="W39" i="21"/>
  <c r="AC39" i="21"/>
  <c r="M39" i="21"/>
  <c r="Q40" i="22"/>
  <c r="Q43" i="22" s="1"/>
  <c r="N43" i="22"/>
  <c r="R40" i="22"/>
  <c r="R43" i="22" s="1"/>
  <c r="R40" i="20"/>
  <c r="R43" i="20" s="1"/>
  <c r="Q40" i="20"/>
  <c r="Q43" i="20" s="1"/>
  <c r="R40" i="23"/>
  <c r="R43" i="23" s="1"/>
  <c r="Q40" i="23"/>
  <c r="T27" i="12"/>
  <c r="T29" i="12"/>
  <c r="Z37" i="22"/>
  <c r="Z37" i="21"/>
  <c r="Z37" i="26"/>
  <c r="Z37" i="20"/>
  <c r="Z37" i="19"/>
  <c r="Z37" i="24"/>
  <c r="Z37" i="23"/>
  <c r="Z37" i="27"/>
  <c r="Z37" i="25"/>
  <c r="K40" i="27"/>
  <c r="K43" i="27" s="1"/>
  <c r="Q40" i="25"/>
  <c r="S40" i="25" s="1"/>
  <c r="S43" i="25" s="1"/>
  <c r="I18" i="12" s="1"/>
  <c r="K40" i="25"/>
  <c r="M40" i="25" s="1"/>
  <c r="AC39" i="25"/>
  <c r="N43" i="29"/>
  <c r="R40" i="29"/>
  <c r="R43" i="29" s="1"/>
  <c r="Q40" i="29"/>
  <c r="H43" i="24"/>
  <c r="K40" i="24"/>
  <c r="K43" i="24" s="1"/>
  <c r="L40" i="24"/>
  <c r="L43" i="24" s="1"/>
  <c r="E26" i="12"/>
  <c r="S39" i="26"/>
  <c r="T25" i="12"/>
  <c r="S43" i="27"/>
  <c r="I20" i="12" s="1"/>
  <c r="X39" i="25"/>
  <c r="X39" i="27"/>
  <c r="Q43" i="27"/>
  <c r="Z38" i="26" l="1"/>
  <c r="Z38" i="25"/>
  <c r="BZ31" i="12" s="1"/>
  <c r="Z38" i="20"/>
  <c r="Z38" i="19"/>
  <c r="BZ25" i="12" s="1"/>
  <c r="Z38" i="21"/>
  <c r="BZ27" i="12" s="1"/>
  <c r="Z38" i="24"/>
  <c r="BZ30" i="12" s="1"/>
  <c r="Z38" i="22"/>
  <c r="BZ28" i="12" s="1"/>
  <c r="M40" i="24"/>
  <c r="M43" i="24" s="1"/>
  <c r="X40" i="25"/>
  <c r="X43" i="25" s="1"/>
  <c r="AC40" i="27"/>
  <c r="AC43" i="27" s="1"/>
  <c r="K20" i="12" s="1"/>
  <c r="Q43" i="26"/>
  <c r="Z38" i="23"/>
  <c r="BZ29" i="12" s="1"/>
  <c r="S43" i="26"/>
  <c r="I19" i="12" s="1"/>
  <c r="Q43" i="25"/>
  <c r="K43" i="25"/>
  <c r="S40" i="22"/>
  <c r="S43" i="22" s="1"/>
  <c r="I15" i="12" s="1"/>
  <c r="W40" i="25"/>
  <c r="W43" i="25" s="1"/>
  <c r="O18" i="12" s="1"/>
  <c r="AC40" i="25"/>
  <c r="AC43" i="25" s="1"/>
  <c r="K18" i="12" s="1"/>
  <c r="Y39" i="19"/>
  <c r="BY26" i="12"/>
  <c r="AA37" i="20"/>
  <c r="AA38" i="20" s="1"/>
  <c r="K43" i="20"/>
  <c r="W40" i="20"/>
  <c r="W43" i="20" s="1"/>
  <c r="O13" i="12" s="1"/>
  <c r="AC40" i="20"/>
  <c r="AC43" i="20" s="1"/>
  <c r="K13" i="12" s="1"/>
  <c r="M40" i="20"/>
  <c r="M43" i="20" s="1"/>
  <c r="X39" i="29"/>
  <c r="W40" i="27"/>
  <c r="W43" i="27" s="1"/>
  <c r="O20" i="12" s="1"/>
  <c r="W40" i="24"/>
  <c r="W43" i="24" s="1"/>
  <c r="O17" i="12" s="1"/>
  <c r="AC40" i="24"/>
  <c r="AC43" i="24" s="1"/>
  <c r="K17" i="12" s="1"/>
  <c r="BY32" i="12"/>
  <c r="AA37" i="26"/>
  <c r="AA38" i="26" s="1"/>
  <c r="BZ32" i="12"/>
  <c r="M40" i="26"/>
  <c r="X40" i="26" s="1"/>
  <c r="W40" i="26"/>
  <c r="W43" i="26" s="1"/>
  <c r="O19" i="12" s="1"/>
  <c r="AC40" i="26"/>
  <c r="AC43" i="26" s="1"/>
  <c r="K19" i="12" s="1"/>
  <c r="K43" i="26"/>
  <c r="AA37" i="23"/>
  <c r="BY29" i="12"/>
  <c r="X39" i="24"/>
  <c r="AA37" i="21"/>
  <c r="BY27" i="12"/>
  <c r="M40" i="23"/>
  <c r="AC40" i="23"/>
  <c r="AC43" i="23" s="1"/>
  <c r="K16" i="12" s="1"/>
  <c r="W40" i="23"/>
  <c r="W43" i="23" s="1"/>
  <c r="O16" i="12" s="1"/>
  <c r="S40" i="29"/>
  <c r="S43" i="29" s="1"/>
  <c r="I11" i="12" s="1"/>
  <c r="I33" i="12" s="1"/>
  <c r="Q43" i="29"/>
  <c r="BY31" i="12"/>
  <c r="AA37" i="25"/>
  <c r="S40" i="21"/>
  <c r="S43" i="21" s="1"/>
  <c r="I14" i="12" s="1"/>
  <c r="Q43" i="21"/>
  <c r="AA37" i="27"/>
  <c r="AA38" i="27" s="1"/>
  <c r="BY33" i="12"/>
  <c r="S43" i="19"/>
  <c r="I12" i="12" s="1"/>
  <c r="BY30" i="12"/>
  <c r="AA37" i="24"/>
  <c r="S40" i="23"/>
  <c r="S43" i="23" s="1"/>
  <c r="I16" i="12" s="1"/>
  <c r="Q43" i="23"/>
  <c r="X39" i="21"/>
  <c r="BZ26" i="12"/>
  <c r="S40" i="24"/>
  <c r="S43" i="24" s="1"/>
  <c r="I17" i="12" s="1"/>
  <c r="Q43" i="24"/>
  <c r="K43" i="21"/>
  <c r="M40" i="21"/>
  <c r="AC40" i="21"/>
  <c r="AC43" i="21" s="1"/>
  <c r="K14" i="12" s="1"/>
  <c r="W40" i="21"/>
  <c r="W43" i="21" s="1"/>
  <c r="O14" i="12" s="1"/>
  <c r="K43" i="22"/>
  <c r="AC40" i="22"/>
  <c r="AC43" i="22" s="1"/>
  <c r="K15" i="12" s="1"/>
  <c r="M40" i="22"/>
  <c r="W40" i="22"/>
  <c r="W43" i="22" s="1"/>
  <c r="O15" i="12" s="1"/>
  <c r="S40" i="20"/>
  <c r="S43" i="20" s="1"/>
  <c r="I13" i="12" s="1"/>
  <c r="I26" i="12" s="1"/>
  <c r="M40" i="27"/>
  <c r="M43" i="27" s="1"/>
  <c r="G20" i="12" s="1"/>
  <c r="AA37" i="22"/>
  <c r="BY28" i="12"/>
  <c r="BY25" i="12"/>
  <c r="AA37" i="19"/>
  <c r="X39" i="26"/>
  <c r="M40" i="19"/>
  <c r="AC40" i="19"/>
  <c r="AC43" i="19" s="1"/>
  <c r="K12" i="12" s="1"/>
  <c r="K43" i="19"/>
  <c r="W40" i="19"/>
  <c r="W43" i="19" s="1"/>
  <c r="O12" i="12" s="1"/>
  <c r="M40" i="29"/>
  <c r="X40" i="29" s="1"/>
  <c r="W40" i="29"/>
  <c r="W43" i="29" s="1"/>
  <c r="O11" i="12" s="1"/>
  <c r="AC40" i="29"/>
  <c r="AC43" i="29" s="1"/>
  <c r="K11" i="12" s="1"/>
  <c r="K33" i="12" s="1"/>
  <c r="K43" i="29"/>
  <c r="M43" i="25"/>
  <c r="Y39" i="27"/>
  <c r="Y39" i="25"/>
  <c r="AA38" i="25" l="1"/>
  <c r="K32" i="12"/>
  <c r="K25" i="12"/>
  <c r="AH25" i="12" s="1"/>
  <c r="AH36" i="12" s="1"/>
  <c r="AA38" i="22"/>
  <c r="AA38" i="21"/>
  <c r="Y40" i="25"/>
  <c r="AA38" i="19"/>
  <c r="Y40" i="29"/>
  <c r="AA38" i="24"/>
  <c r="AA38" i="23"/>
  <c r="K31" i="12"/>
  <c r="U13" i="12"/>
  <c r="G13" i="12"/>
  <c r="L13" i="12" s="1"/>
  <c r="X40" i="21"/>
  <c r="X43" i="21" s="1"/>
  <c r="P14" i="12" s="1"/>
  <c r="Y40" i="26"/>
  <c r="M43" i="29"/>
  <c r="U11" i="12" s="1"/>
  <c r="Y39" i="29"/>
  <c r="Z39" i="27" s="1"/>
  <c r="X43" i="29"/>
  <c r="U20" i="12"/>
  <c r="X40" i="22"/>
  <c r="M43" i="22"/>
  <c r="Y39" i="24"/>
  <c r="X40" i="24"/>
  <c r="X43" i="24" s="1"/>
  <c r="I30" i="12"/>
  <c r="I32" i="12"/>
  <c r="I28" i="12"/>
  <c r="I25" i="12"/>
  <c r="AF25" i="12" s="1"/>
  <c r="AF36" i="12" s="1"/>
  <c r="I29" i="12"/>
  <c r="I27" i="12"/>
  <c r="I31" i="12"/>
  <c r="X40" i="20"/>
  <c r="O28" i="12"/>
  <c r="O29" i="12"/>
  <c r="O26" i="12"/>
  <c r="O30" i="12"/>
  <c r="O32" i="12"/>
  <c r="O27" i="12"/>
  <c r="O25" i="12"/>
  <c r="AL25" i="12" s="1"/>
  <c r="AL36" i="12" s="1"/>
  <c r="G17" i="12"/>
  <c r="L17" i="12" s="1"/>
  <c r="U17" i="12"/>
  <c r="X40" i="19"/>
  <c r="M43" i="19"/>
  <c r="O31" i="12"/>
  <c r="M43" i="26"/>
  <c r="M43" i="21"/>
  <c r="X40" i="27"/>
  <c r="K30" i="12"/>
  <c r="K28" i="12"/>
  <c r="K29" i="12"/>
  <c r="K27" i="12"/>
  <c r="K26" i="12"/>
  <c r="Y39" i="26"/>
  <c r="X43" i="26"/>
  <c r="Y39" i="21"/>
  <c r="X40" i="23"/>
  <c r="M43" i="23"/>
  <c r="O33" i="12"/>
  <c r="Y43" i="25"/>
  <c r="P18" i="12"/>
  <c r="L20" i="12"/>
  <c r="G18" i="12"/>
  <c r="U18" i="12"/>
  <c r="Z40" i="25" l="1"/>
  <c r="CB31" i="12" s="1"/>
  <c r="Z40" i="26"/>
  <c r="CB32" i="12" s="1"/>
  <c r="Y43" i="21"/>
  <c r="U26" i="12"/>
  <c r="V26" i="12" s="1"/>
  <c r="W26" i="12" s="1"/>
  <c r="Y40" i="21"/>
  <c r="Z40" i="21" s="1"/>
  <c r="CB27" i="12" s="1"/>
  <c r="G11" i="12"/>
  <c r="G26" i="12" s="1"/>
  <c r="U33" i="12"/>
  <c r="V33" i="12" s="1"/>
  <c r="W33" i="12" s="1"/>
  <c r="Y40" i="24"/>
  <c r="Z40" i="24" s="1"/>
  <c r="CB30" i="12" s="1"/>
  <c r="Z39" i="25"/>
  <c r="CA31" i="12" s="1"/>
  <c r="U31" i="12"/>
  <c r="V31" i="12" s="1"/>
  <c r="W31" i="12" s="1"/>
  <c r="AA39" i="27"/>
  <c r="CA33" i="12"/>
  <c r="P17" i="12"/>
  <c r="Y43" i="24"/>
  <c r="U16" i="12"/>
  <c r="U29" i="12" s="1"/>
  <c r="V29" i="12" s="1"/>
  <c r="W29" i="12" s="1"/>
  <c r="G16" i="12"/>
  <c r="L16" i="12" s="1"/>
  <c r="X43" i="22"/>
  <c r="Y40" i="22"/>
  <c r="Z40" i="22" s="1"/>
  <c r="Y40" i="19"/>
  <c r="Z40" i="19" s="1"/>
  <c r="X43" i="19"/>
  <c r="P19" i="12"/>
  <c r="Y43" i="26"/>
  <c r="X43" i="27"/>
  <c r="Y40" i="27"/>
  <c r="Z40" i="27" s="1"/>
  <c r="CB33" i="12" s="1"/>
  <c r="U30" i="12"/>
  <c r="V30" i="12" s="1"/>
  <c r="W30" i="12" s="1"/>
  <c r="X43" i="23"/>
  <c r="Y40" i="23"/>
  <c r="Z40" i="23" s="1"/>
  <c r="U15" i="12"/>
  <c r="U28" i="12" s="1"/>
  <c r="V28" i="12" s="1"/>
  <c r="W28" i="12" s="1"/>
  <c r="G15" i="12"/>
  <c r="G14" i="12"/>
  <c r="L14" i="12" s="1"/>
  <c r="U14" i="12"/>
  <c r="U27" i="12" s="1"/>
  <c r="V27" i="12" s="1"/>
  <c r="W27" i="12" s="1"/>
  <c r="X43" i="20"/>
  <c r="Y40" i="20"/>
  <c r="Z40" i="20" s="1"/>
  <c r="P11" i="12"/>
  <c r="Q31" i="12" s="1"/>
  <c r="Y43" i="29"/>
  <c r="G12" i="12"/>
  <c r="L12" i="12" s="1"/>
  <c r="U12" i="12"/>
  <c r="U25" i="12" s="1"/>
  <c r="V25" i="12" s="1"/>
  <c r="W25" i="12" s="1"/>
  <c r="U19" i="12"/>
  <c r="U32" i="12" s="1"/>
  <c r="V32" i="12" s="1"/>
  <c r="W32" i="12" s="1"/>
  <c r="G19" i="12"/>
  <c r="L19" i="12" s="1"/>
  <c r="Z39" i="22"/>
  <c r="Z39" i="21"/>
  <c r="Z39" i="26"/>
  <c r="Z39" i="19"/>
  <c r="Z39" i="24"/>
  <c r="Z39" i="20"/>
  <c r="Z39" i="23"/>
  <c r="L18" i="12"/>
  <c r="G33" i="12" l="1"/>
  <c r="G31" i="12"/>
  <c r="P31" i="12"/>
  <c r="G30" i="12"/>
  <c r="L11" i="12"/>
  <c r="L25" i="12" s="1"/>
  <c r="AI25" i="12" s="1"/>
  <c r="AI36" i="12" s="1"/>
  <c r="G29" i="12"/>
  <c r="AA39" i="25"/>
  <c r="AA40" i="25" s="1"/>
  <c r="AA43" i="25" s="1"/>
  <c r="S31" i="12" s="1"/>
  <c r="G32" i="12"/>
  <c r="Q32" i="12"/>
  <c r="P32" i="12"/>
  <c r="P27" i="12"/>
  <c r="Q27" i="12"/>
  <c r="P30" i="12"/>
  <c r="CB29" i="12"/>
  <c r="CA29" i="12"/>
  <c r="AA39" i="23"/>
  <c r="AA40" i="23" s="1"/>
  <c r="AA43" i="23" s="1"/>
  <c r="S29" i="12" s="1"/>
  <c r="CB26" i="12"/>
  <c r="P12" i="12"/>
  <c r="Q25" i="12" s="1"/>
  <c r="AN25" i="12" s="1"/>
  <c r="AN36" i="12" s="1"/>
  <c r="Y43" i="19"/>
  <c r="Y43" i="20"/>
  <c r="P13" i="12"/>
  <c r="P26" i="12" s="1"/>
  <c r="CB25" i="12"/>
  <c r="CA30" i="12"/>
  <c r="AA39" i="24"/>
  <c r="AA40" i="24" s="1"/>
  <c r="AA43" i="24" s="1"/>
  <c r="S30" i="12" s="1"/>
  <c r="G25" i="12"/>
  <c r="AD25" i="12" s="1"/>
  <c r="AD36" i="12" s="1"/>
  <c r="CB28" i="12"/>
  <c r="P16" i="12"/>
  <c r="Q29" i="12" s="1"/>
  <c r="Y43" i="23"/>
  <c r="Y43" i="27"/>
  <c r="P20" i="12"/>
  <c r="Q33" i="12" s="1"/>
  <c r="AA39" i="22"/>
  <c r="AA40" i="22" s="1"/>
  <c r="AA43" i="22" s="1"/>
  <c r="S28" i="12" s="1"/>
  <c r="CA28" i="12"/>
  <c r="CA26" i="12"/>
  <c r="AA39" i="20"/>
  <c r="AA40" i="20" s="1"/>
  <c r="AA43" i="20" s="1"/>
  <c r="S26" i="12" s="1"/>
  <c r="CA25" i="12"/>
  <c r="AA39" i="19"/>
  <c r="AA40" i="19" s="1"/>
  <c r="AA43" i="19" s="1"/>
  <c r="S25" i="12" s="1"/>
  <c r="P15" i="12"/>
  <c r="Y43" i="22"/>
  <c r="Q30" i="12"/>
  <c r="CA32" i="12"/>
  <c r="AA39" i="26"/>
  <c r="AA40" i="26" s="1"/>
  <c r="AA43" i="26" s="1"/>
  <c r="S32" i="12" s="1"/>
  <c r="CA27" i="12"/>
  <c r="AA39" i="21"/>
  <c r="AA40" i="21" s="1"/>
  <c r="AA43" i="21" s="1"/>
  <c r="S27" i="12" s="1"/>
  <c r="L15" i="12"/>
  <c r="G28" i="12"/>
  <c r="G27" i="12"/>
  <c r="AA40" i="27"/>
  <c r="AA43" i="27" s="1"/>
  <c r="S33" i="12" s="1"/>
  <c r="L28" i="12" l="1"/>
  <c r="L30" i="12"/>
  <c r="L27" i="12"/>
  <c r="L32" i="12"/>
  <c r="Q26" i="12"/>
  <c r="P29" i="12"/>
  <c r="L26" i="12"/>
  <c r="L33" i="12"/>
  <c r="L29" i="12"/>
  <c r="L31" i="12"/>
  <c r="P25" i="12"/>
  <c r="P33" i="12"/>
  <c r="P28" i="12"/>
  <c r="Q28" i="12"/>
  <c r="Y33" i="12"/>
  <c r="Y28" i="12"/>
  <c r="Y30" i="12"/>
  <c r="Y29" i="12"/>
  <c r="Y27" i="12"/>
  <c r="Y31" i="12"/>
  <c r="Y26" i="12"/>
  <c r="Y32" i="12"/>
  <c r="Y25" i="12"/>
  <c r="AY29" i="12" l="1"/>
  <c r="AP29" i="12"/>
  <c r="BA29" i="12"/>
  <c r="AR29" i="12"/>
  <c r="AQ29" i="12"/>
  <c r="X29" i="12"/>
  <c r="C16" i="12" s="1"/>
  <c r="C29" i="12" s="1"/>
  <c r="AW29" i="12"/>
  <c r="AX29" i="12"/>
  <c r="AZ29" i="12"/>
  <c r="AV29" i="12"/>
  <c r="AO29" i="12"/>
  <c r="AT29" i="12"/>
  <c r="BB29" i="12"/>
  <c r="AU29" i="12"/>
  <c r="AS29" i="12"/>
  <c r="AR32" i="12"/>
  <c r="X32" i="12"/>
  <c r="C19" i="12" s="1"/>
  <c r="C32" i="12" s="1"/>
  <c r="AT32" i="12"/>
  <c r="AZ32" i="12"/>
  <c r="AS32" i="12"/>
  <c r="AV32" i="12"/>
  <c r="AU32" i="12"/>
  <c r="BA32" i="12"/>
  <c r="AP32" i="12"/>
  <c r="BB32" i="12"/>
  <c r="AY32" i="12"/>
  <c r="AO32" i="12"/>
  <c r="AQ32" i="12"/>
  <c r="AX32" i="12"/>
  <c r="AW32" i="12"/>
  <c r="AU25" i="12"/>
  <c r="AW25" i="12"/>
  <c r="AT25" i="12"/>
  <c r="AQ25" i="12"/>
  <c r="BA25" i="12"/>
  <c r="AZ25" i="12"/>
  <c r="BB25" i="12"/>
  <c r="AX25" i="12"/>
  <c r="AV25" i="12"/>
  <c r="AY25" i="12"/>
  <c r="AP25" i="12"/>
  <c r="AO25" i="12"/>
  <c r="AS25" i="12"/>
  <c r="X25" i="12"/>
  <c r="C12" i="12" s="1"/>
  <c r="C25" i="12" s="1"/>
  <c r="AR25" i="12"/>
  <c r="X31" i="12"/>
  <c r="C18" i="12" s="1"/>
  <c r="C31" i="12" s="1"/>
  <c r="AP31" i="12"/>
  <c r="BA31" i="12"/>
  <c r="AV31" i="12"/>
  <c r="AR31" i="12"/>
  <c r="AT31" i="12"/>
  <c r="AU31" i="12"/>
  <c r="AY31" i="12"/>
  <c r="AZ31" i="12"/>
  <c r="BB31" i="12"/>
  <c r="AX31" i="12"/>
  <c r="AW31" i="12"/>
  <c r="AS31" i="12"/>
  <c r="AQ31" i="12"/>
  <c r="AO31" i="12"/>
  <c r="AU28" i="12"/>
  <c r="X28" i="12"/>
  <c r="C15" i="12" s="1"/>
  <c r="C28" i="12" s="1"/>
  <c r="AZ28" i="12"/>
  <c r="AY28" i="12"/>
  <c r="AR28" i="12"/>
  <c r="AX28" i="12"/>
  <c r="BB28" i="12"/>
  <c r="AW28" i="12"/>
  <c r="AQ28" i="12"/>
  <c r="AV28" i="12"/>
  <c r="AP28" i="12"/>
  <c r="AT28" i="12"/>
  <c r="BA28" i="12"/>
  <c r="AS28" i="12"/>
  <c r="AO28" i="12"/>
  <c r="AU26" i="12"/>
  <c r="AW26" i="12"/>
  <c r="AY26" i="12"/>
  <c r="BB26" i="12"/>
  <c r="AV26" i="12"/>
  <c r="AX26" i="12"/>
  <c r="BA26" i="12"/>
  <c r="AT26" i="12"/>
  <c r="AR26" i="12"/>
  <c r="AS26" i="12"/>
  <c r="AZ26" i="12"/>
  <c r="AQ26" i="12"/>
  <c r="X26" i="12"/>
  <c r="C13" i="12" s="1"/>
  <c r="C26" i="12" s="1"/>
  <c r="AO26" i="12"/>
  <c r="AP26" i="12"/>
  <c r="BB30" i="12"/>
  <c r="AY30" i="12"/>
  <c r="AO30" i="12"/>
  <c r="AW30" i="12"/>
  <c r="AQ30" i="12"/>
  <c r="AS30" i="12"/>
  <c r="X30" i="12"/>
  <c r="C17" i="12" s="1"/>
  <c r="C30" i="12" s="1"/>
  <c r="BA30" i="12"/>
  <c r="AP30" i="12"/>
  <c r="AZ30" i="12"/>
  <c r="AU30" i="12"/>
  <c r="AX30" i="12"/>
  <c r="AR30" i="12"/>
  <c r="AT30" i="12"/>
  <c r="AV30" i="12"/>
  <c r="AQ33" i="12"/>
  <c r="AP33" i="12"/>
  <c r="AS33" i="12"/>
  <c r="AV33" i="12"/>
  <c r="AT33" i="12"/>
  <c r="AX33" i="12"/>
  <c r="AU33" i="12"/>
  <c r="X33" i="12"/>
  <c r="C20" i="12" s="1"/>
  <c r="C33" i="12" s="1"/>
  <c r="AZ33" i="12"/>
  <c r="BB33" i="12"/>
  <c r="AW33" i="12"/>
  <c r="AR33" i="12"/>
  <c r="BA33" i="12"/>
  <c r="AO33" i="12"/>
  <c r="AY33" i="12"/>
  <c r="BB27" i="12"/>
  <c r="BA27" i="12"/>
  <c r="AU27" i="12"/>
  <c r="AV27" i="12"/>
  <c r="AP27" i="12"/>
  <c r="AX27" i="12"/>
  <c r="AQ27" i="12"/>
  <c r="AS27" i="12"/>
  <c r="AT27" i="12"/>
  <c r="AZ27" i="12"/>
  <c r="AR27" i="12"/>
  <c r="AW27" i="12"/>
  <c r="AO27" i="12"/>
  <c r="AY27" i="12"/>
  <c r="X27" i="12"/>
  <c r="C14" i="12" s="1"/>
  <c r="C27" i="12" s="1"/>
  <c r="AM25" i="12"/>
  <c r="AM36" i="12" s="1"/>
  <c r="AW36" i="12" l="1"/>
  <c r="L36" i="12" s="1"/>
  <c r="AR36" i="12"/>
  <c r="G36" i="12" s="1"/>
  <c r="BB36" i="12"/>
  <c r="Q36" i="12" s="1"/>
  <c r="AV36" i="12"/>
  <c r="K36" i="12" s="1"/>
  <c r="AX36" i="12"/>
  <c r="M36" i="12" s="1"/>
  <c r="AZ36" i="12"/>
  <c r="O36" i="12" s="1"/>
  <c r="AU36" i="12"/>
  <c r="J36" i="12" s="1"/>
  <c r="BA36" i="12"/>
  <c r="P36" i="12" s="1"/>
  <c r="AO36" i="12"/>
  <c r="D36" i="12" s="1"/>
  <c r="AQ36" i="12"/>
  <c r="F36" i="12" s="1"/>
  <c r="AY36" i="12"/>
  <c r="N36" i="12" s="1"/>
  <c r="AS36" i="12"/>
  <c r="H36" i="12" s="1"/>
  <c r="AP36" i="12"/>
  <c r="E36" i="12" s="1"/>
  <c r="AT36" i="12"/>
  <c r="I36" i="12" s="1"/>
</calcChain>
</file>

<file path=xl/comments1.xml><?xml version="1.0" encoding="utf-8"?>
<comments xmlns="http://schemas.openxmlformats.org/spreadsheetml/2006/main">
  <authors>
    <author>A satisfied Microsoft Office user</author>
    <author xml:space="preserve"> </author>
  </authors>
  <commentList>
    <comment ref="H4" authorId="0">
      <text>
        <r>
          <rPr>
            <sz val="10"/>
            <color indexed="81"/>
            <rFont val="Tahoma"/>
            <family val="2"/>
          </rPr>
          <t>The user should edit only those cells whose contents are displayed in blue.  All other cells read from the blue "input" cells and are currently protected (i.e., locked).  To unprotect any sheet, select "Tools", then "Protection" .</t>
        </r>
      </text>
    </comment>
    <comment ref="S8" authorId="1">
      <text>
        <r>
          <rPr>
            <sz val="10"/>
            <color indexed="81"/>
            <rFont val="Tahoma"/>
            <family val="2"/>
          </rPr>
          <t>Enter occupancy of facility use factors, by year, to use as multipliers for annual utility costs.</t>
        </r>
      </text>
    </comment>
    <comment ref="H10" authorId="0">
      <text>
        <r>
          <rPr>
            <sz val="10"/>
            <color indexed="81"/>
            <rFont val="Tahoma"/>
            <family val="2"/>
          </rPr>
          <t>This is the year the DOE energy price escalation rates are released. ONLY yr 2015 DOE energy price escalation rates are provided.</t>
        </r>
      </text>
    </comment>
    <comment ref="M10" authorId="0">
      <text>
        <r>
          <rPr>
            <sz val="10"/>
            <color indexed="81"/>
            <rFont val="Tahoma"/>
            <family val="2"/>
          </rPr>
          <t>This FEMP discount rate is used only in the REFERENCE SPV, UPV, and UPV* tables.  Actual LCC calculations (performed on the "LCC" sheets) are based on the "Discount Rate for this Analysis", at left.  Modify this rate only to create reference SPV, UPV, or UPV* tables based on a new discount rate.</t>
        </r>
      </text>
    </comment>
    <comment ref="H12" authorId="0">
      <text>
        <r>
          <rPr>
            <sz val="10"/>
            <color indexed="81"/>
            <rFont val="Tahoma"/>
            <family val="2"/>
          </rPr>
          <t xml:space="preserve">The analysis is assumed to be performed during the current year. </t>
        </r>
      </text>
    </comment>
    <comment ref="H13" authorId="0">
      <text>
        <r>
          <rPr>
            <sz val="10"/>
            <color indexed="81"/>
            <rFont val="Tahoma"/>
            <family val="2"/>
          </rPr>
          <t>Enter a number, 2011-2016, representing the first year of cash flows for the project, e.g., when occupancy starts for a new building construction project. 
This allows you to have up to a 5 year design and construction period.</t>
        </r>
      </text>
    </comment>
    <comment ref="M13" authorId="0">
      <text>
        <r>
          <rPr>
            <sz val="10"/>
            <color indexed="81"/>
            <rFont val="Tahoma"/>
            <family val="2"/>
          </rPr>
          <t>This OMB Short Term discount rate is used only in the REFERENCE SPV, UPV, and UPV* tables.  Actual LCC calculations (performed on the "LCC" sheets) are based on the "Discount Rate for this Analysis", at left.  Modify this rate only to create reference SPV, UPV, or UPV* tables with a new discount rate.</t>
        </r>
      </text>
    </comment>
    <comment ref="H15" authorId="0">
      <text>
        <r>
          <rPr>
            <sz val="10"/>
            <color indexed="81"/>
            <rFont val="Tahoma"/>
            <family val="2"/>
          </rPr>
          <t>Use this Discount rate to apply to all operations costs (energy, labor, O&amp;M, non-annual recurring costs).
Enter a 'real' rate, NOT a 'nominal' rate. Use the Nominal-to-Real converter at cell M20 to convert a nominal rate to a real rate. 
This discount rate is used throughout the analysis and is used by all of the "LCC" spreadsheets.</t>
        </r>
      </text>
    </comment>
    <comment ref="H16" authorId="0">
      <text>
        <r>
          <rPr>
            <sz val="10"/>
            <color indexed="81"/>
            <rFont val="Tahoma"/>
            <family val="2"/>
          </rPr>
          <t>Use this Discount rate to apply to all capital costs (equipment &amp; replacement).
Enter a 'real' rate, NOT a 'nominal' rate. Use the Nominal-to-Real converter at cell M20 to convert a nominal rate to a real rate. 
This discount rate is used throughout the analysis and is used by all of the "LCC" spreadsheets.</t>
        </r>
      </text>
    </comment>
    <comment ref="M16" authorId="0">
      <text>
        <r>
          <rPr>
            <sz val="10"/>
            <color indexed="81"/>
            <rFont val="Tahoma"/>
            <family val="2"/>
          </rPr>
          <t>This OMB Long Term discount rate is used only in the REFERENCE SPV, UPV, and UPV* tables.  Actual LCC calculations (performed on the "LCC" sheets) are based on the "Discount Rate for this Analysis", at left.  Modify this rate only to create reference SPV, UPV, or UPV* tables with a new discount rate.</t>
        </r>
      </text>
    </comment>
    <comment ref="H18" authorId="0">
      <text>
        <r>
          <rPr>
            <sz val="10"/>
            <color indexed="81"/>
            <rFont val="Tahoma"/>
            <family val="2"/>
          </rPr>
          <t>The length of the time period covered by the LCC analysis. This includes both the Planning/Construction Period and the Service Period.
This number is used on all of the "LCC" spreadsheets.</t>
        </r>
      </text>
    </comment>
    <comment ref="H19" authorId="1">
      <text>
        <r>
          <rPr>
            <sz val="10"/>
            <color indexed="81"/>
            <rFont val="Tahoma"/>
            <family val="2"/>
          </rPr>
          <t>The Service Period is equal to the # of years in the Study Period minus the # of Design and Construction years, i.e., the difference between the Base Year (the year the analysis is performed) and the Project Service Year (the year the project comes on-line and begins to incur operating costs).</t>
        </r>
      </text>
    </comment>
    <comment ref="M20" authorId="0">
      <text>
        <r>
          <rPr>
            <sz val="10"/>
            <color indexed="81"/>
            <rFont val="Tahoma"/>
            <family val="2"/>
          </rPr>
          <t>Enter a number less than one, i.e., 4.9% is entered as 0.049.  This discount rate is "nominal" in that it includes the assumed general inflation rate.</t>
        </r>
      </text>
    </comment>
    <comment ref="H21" authorId="0">
      <text>
        <r>
          <rPr>
            <sz val="10"/>
            <color indexed="81"/>
            <rFont val="Tahoma"/>
            <family val="2"/>
          </rPr>
          <t>The DOE Fuel Price Escalation Region helps determine, along with "Analysis Sector", which fuel escalation rates are used in all analyses in this spreadsheet. See the map below to determine the appropriate region.</t>
        </r>
      </text>
    </comment>
    <comment ref="M21" authorId="0">
      <text>
        <r>
          <rPr>
            <sz val="10"/>
            <color indexed="81"/>
            <rFont val="Tahoma"/>
            <family val="2"/>
          </rPr>
          <t>Enter a number less than one, i.e., 1.8% is entered as 0.018.  This general inflation rate is used to calculate the "nominal" discount rate.</t>
        </r>
      </text>
    </comment>
    <comment ref="M22" authorId="0">
      <text>
        <r>
          <rPr>
            <sz val="10"/>
            <color indexed="81"/>
            <rFont val="Tahoma"/>
            <family val="2"/>
          </rPr>
          <t>This "real" discount rate is adjusted to be net of general inflation and is the rate actually used throughout the analysis.</t>
        </r>
      </text>
    </comment>
    <comment ref="H24" authorId="0">
      <text>
        <r>
          <rPr>
            <sz val="10"/>
            <color indexed="81"/>
            <rFont val="Tahoma"/>
            <family val="2"/>
          </rPr>
          <t>The Analysis Sector helps determine, along with the "DOE Fuel Price Escalation Region", which fuel price escalation rates are used in all analyses in this spreadsheet.</t>
        </r>
      </text>
    </comment>
    <comment ref="M24" authorId="0">
      <text>
        <r>
          <rPr>
            <sz val="10"/>
            <color indexed="81"/>
            <rFont val="Tahoma"/>
            <family val="2"/>
          </rPr>
          <t>Enter a number less than one, i.e., 3.0% is entered as 0.030.  This discount rate is "real" in that it is net of general inflation and is the rate actually used throughout the analysis</t>
        </r>
      </text>
    </comment>
    <comment ref="M25" authorId="0">
      <text>
        <r>
          <rPr>
            <sz val="10"/>
            <color indexed="81"/>
            <rFont val="Tahoma"/>
            <family val="2"/>
          </rPr>
          <t>Enter a number less than one, i.e., 1.8% is entered as 0.018.  This general inflation rate is used to calculate the "nominal" discount rate.</t>
        </r>
      </text>
    </comment>
    <comment ref="M26" authorId="0">
      <text>
        <r>
          <rPr>
            <sz val="10"/>
            <color indexed="81"/>
            <rFont val="Tahoma"/>
            <family val="2"/>
          </rPr>
          <t>This "nominal" discount rate is adjusted to include general inflation.</t>
        </r>
      </text>
    </comment>
    <comment ref="H27" authorId="0">
      <text>
        <r>
          <rPr>
            <sz val="10"/>
            <color indexed="81"/>
            <rFont val="Tahoma"/>
            <family val="2"/>
          </rPr>
          <t>Only two fuel types are permitted in any analysis. Select 0 through 5 for fuel type.</t>
        </r>
      </text>
    </comment>
    <comment ref="H31" authorId="0">
      <text>
        <r>
          <rPr>
            <sz val="10"/>
            <color indexed="81"/>
            <rFont val="Tahoma"/>
            <family val="2"/>
          </rPr>
          <t>To specify a UNIFORM fuel price escalation rate, enter a number (0-1), else, to use DOE escalation rates, which vary by year, leave this cell empty.</t>
        </r>
      </text>
    </comment>
  </commentList>
</comments>
</file>

<file path=xl/comments10.xml><?xml version="1.0" encoding="utf-8"?>
<comments xmlns="http://schemas.openxmlformats.org/spreadsheetml/2006/main">
  <authors>
    <author>A satisfied Microsoft Office user</author>
    <author xml:space="preserve"> </author>
  </authors>
  <commentList>
    <comment ref="N3" authorId="0">
      <text>
        <r>
          <rPr>
            <sz val="10"/>
            <color indexed="81"/>
            <rFont val="Tahoma"/>
            <family val="2"/>
          </rPr>
          <t xml:space="preserve">This is the period of assumed occupancy or project operation in the LCC calculations on this sheet.  </t>
        </r>
      </text>
    </comment>
    <comment ref="T3" authorId="0">
      <text>
        <r>
          <rPr>
            <sz val="10"/>
            <color indexed="81"/>
            <rFont val="Tahoma"/>
            <family val="2"/>
          </rPr>
          <t>This is the fiscal year used as the basis of the DOE fuel price escalation rates used in the LCC calculations on this sheet.  It is taken from the "DOE/FEMP Fiscal Year" value on the "Basic Data" sheet in this workbook.</t>
        </r>
      </text>
    </comment>
    <comment ref="X3" authorId="0">
      <text>
        <r>
          <rPr>
            <sz val="10"/>
            <color indexed="81"/>
            <rFont val="Tahoma"/>
            <family val="2"/>
          </rPr>
          <t>This is the DOE region used to select fuel price escalation rates for the LCC calculations on this sheet.  It is taken from the "DOE Fuel Price Escalation" value (number from 1 to 5) on the "Basic Data" sheet in this workbook.</t>
        </r>
      </text>
    </comment>
    <comment ref="N4" authorId="0">
      <text>
        <r>
          <rPr>
            <sz val="10"/>
            <color indexed="81"/>
            <rFont val="Tahoma"/>
            <family val="2"/>
          </rPr>
          <t>This is the period of analysis used in the LCC calculations on this sheet.  It is taken from the "Number of Analysis Years" value on the "Basic Data" sheet in this workbook.</t>
        </r>
      </text>
    </comment>
    <comment ref="T4" authorId="0">
      <text>
        <r>
          <rPr>
            <sz val="10"/>
            <color indexed="81"/>
            <rFont val="Tahoma"/>
            <family val="2"/>
          </rPr>
          <t>This is the Operations costs discount rate used in the LCC calculations on this sheet.  It is taken from the "Discount Rate for this Analysis" value on the "Basic Data" sheet in this workbook.</t>
        </r>
      </text>
    </comment>
    <comment ref="X4" authorId="0">
      <text>
        <r>
          <rPr>
            <sz val="10"/>
            <color indexed="81"/>
            <rFont val="Tahoma"/>
            <family val="2"/>
          </rPr>
          <t>This is the DOE analysis sector used to select fuel price escalation rates for the LCC calculations on this sheet.  It is taken from the "Analysis Sector" value (number from 1 to 3) on the "Basic Data" sheet in this workbook.</t>
        </r>
      </text>
    </comment>
    <comment ref="T5" authorId="0">
      <text>
        <r>
          <rPr>
            <sz val="10"/>
            <color indexed="81"/>
            <rFont val="Tahoma"/>
            <family val="2"/>
          </rPr>
          <t>This is the Capital costs discount rate used in the LCC calculations on this sheet.  It is taken from the "Discount Rate for this Analysis" value on the "Basic Data" sheet in this workbook.</t>
        </r>
      </text>
    </comment>
    <comment ref="W10" authorId="0">
      <text>
        <r>
          <rPr>
            <sz val="10"/>
            <color indexed="81"/>
            <rFont val="Tahoma"/>
            <family val="2"/>
          </rPr>
          <t xml:space="preserve">Future costs have not been discounted but energy price escalation has been applied. </t>
        </r>
      </text>
    </comment>
    <comment ref="F15" authorId="0">
      <text>
        <r>
          <rPr>
            <sz val="10"/>
            <color indexed="81"/>
            <rFont val="Tahoma"/>
            <family val="2"/>
          </rPr>
          <t>OPERATIONS-RELATED non-annually reoccurring costs... Use years 1 through 25 to indicate (future) operations-related non-annually reoccurring costs such as repair (costs in constant dollars).</t>
        </r>
      </text>
    </comment>
    <comment ref="I15" authorId="0">
      <text>
        <r>
          <rPr>
            <sz val="10"/>
            <color indexed="81"/>
            <rFont val="Tahoma"/>
            <family val="2"/>
          </rPr>
          <t>Any entry here will be treated as the average for all periods in this analysis. This value is taken from the Uniform Price Escalation Rate entry on the Basic data tab sheet.</t>
        </r>
      </text>
    </comment>
    <comment ref="K15" authorId="1">
      <text>
        <r>
          <rPr>
            <sz val="10"/>
            <color indexed="81"/>
            <rFont val="Tahoma"/>
            <family val="2"/>
          </rPr>
          <t>This is the product of the escalation rates during design &amp; construction years, if any.</t>
        </r>
      </text>
    </comment>
    <comment ref="N15" authorId="0">
      <text>
        <r>
          <rPr>
            <sz val="10"/>
            <color indexed="81"/>
            <rFont val="Tahoma"/>
            <family val="2"/>
          </rPr>
          <t>Enter estimated annual secondary utility cost (in constant dollars).</t>
        </r>
      </text>
    </comment>
    <comment ref="O15" authorId="0">
      <text>
        <r>
          <rPr>
            <sz val="10"/>
            <color indexed="81"/>
            <rFont val="Tahoma"/>
            <family val="2"/>
          </rPr>
          <t>Any entry here will be treated as the average for all periods in this analysis. This value is taken from the Uniform Price Escalation Rate entry on the Basic data tab sheet.</t>
        </r>
      </text>
    </comment>
    <comment ref="Q15" authorId="1">
      <text>
        <r>
          <rPr>
            <sz val="10"/>
            <color indexed="81"/>
            <rFont val="Tahoma"/>
            <family val="2"/>
          </rPr>
          <t>This is the product of the escalation rates during design &amp; construction years, if any.</t>
        </r>
      </text>
    </comment>
    <comment ref="T15" authorId="0">
      <text>
        <r>
          <rPr>
            <sz val="10"/>
            <color indexed="81"/>
            <rFont val="Tahoma"/>
            <family val="2"/>
          </rPr>
          <t>Enter annual recurring costs for items such as maintenance.  Note that these items will not be adjusted using any differential price escalation.  Use constant dollars.</t>
        </r>
      </text>
    </comment>
    <comment ref="X43" authorId="0">
      <text>
        <r>
          <rPr>
            <sz val="10"/>
            <color indexed="81"/>
            <rFont val="Tahoma"/>
            <family val="2"/>
          </rPr>
          <t>This is the Total Life-Cycle Cost for this alternative.</t>
        </r>
      </text>
    </comment>
  </commentList>
</comments>
</file>

<file path=xl/comments11.xml><?xml version="1.0" encoding="utf-8"?>
<comments xmlns="http://schemas.openxmlformats.org/spreadsheetml/2006/main">
  <authors>
    <author>A satisfied Microsoft Office user</author>
    <author xml:space="preserve"> </author>
  </authors>
  <commentList>
    <comment ref="N3" authorId="0">
      <text>
        <r>
          <rPr>
            <sz val="10"/>
            <color indexed="81"/>
            <rFont val="Tahoma"/>
            <family val="2"/>
          </rPr>
          <t xml:space="preserve">This is the period of assumed occupancy or project operation in the LCC calculations on this sheet.  </t>
        </r>
      </text>
    </comment>
    <comment ref="T3" authorId="0">
      <text>
        <r>
          <rPr>
            <sz val="10"/>
            <color indexed="81"/>
            <rFont val="Tahoma"/>
            <family val="2"/>
          </rPr>
          <t>This is the fiscal year used as the basis of the DOE fuel price escalation rates used in the LCC calculations on this sheet.  It is taken from the "DOE/FEMP Fiscal Year" value on the "Basic Data" sheet in this workbook.</t>
        </r>
      </text>
    </comment>
    <comment ref="X3" authorId="0">
      <text>
        <r>
          <rPr>
            <sz val="10"/>
            <color indexed="81"/>
            <rFont val="Tahoma"/>
            <family val="2"/>
          </rPr>
          <t>This is the DOE region used to select fuel price escalation rates for the LCC calculations on this sheet.  It is taken from the "DOE Fuel Price Escalation" value (number from 1 to 5) on the "Basic Data" sheet in this workbook.</t>
        </r>
      </text>
    </comment>
    <comment ref="N4" authorId="0">
      <text>
        <r>
          <rPr>
            <sz val="10"/>
            <color indexed="81"/>
            <rFont val="Tahoma"/>
            <family val="2"/>
          </rPr>
          <t>This is the period of analysis used in the LCC calculations on this sheet.  It is taken from the "Number of Analysis Years" value on the "Basic Data" sheet in this workbook.</t>
        </r>
      </text>
    </comment>
    <comment ref="T4" authorId="0">
      <text>
        <r>
          <rPr>
            <sz val="10"/>
            <color indexed="81"/>
            <rFont val="Tahoma"/>
            <family val="2"/>
          </rPr>
          <t>This is the Operations costs discount rate used in the LCC calculations on this sheet.  It is taken from the "Discount Rate for this Analysis" value on the "Basic Data" sheet in this workbook.</t>
        </r>
      </text>
    </comment>
    <comment ref="X4" authorId="0">
      <text>
        <r>
          <rPr>
            <sz val="10"/>
            <color indexed="81"/>
            <rFont val="Tahoma"/>
            <family val="2"/>
          </rPr>
          <t>This is the DOE analysis sector used to select fuel price escalation rates for the LCC calculations on this sheet.  It is taken from the "Analysis Sector" value (number from 1 to 3) on the "Basic Data" sheet in this workbook.</t>
        </r>
      </text>
    </comment>
    <comment ref="T5" authorId="0">
      <text>
        <r>
          <rPr>
            <sz val="10"/>
            <color indexed="81"/>
            <rFont val="Tahoma"/>
            <family val="2"/>
          </rPr>
          <t>This is the Capital costs discount rate used in the LCC calculations on this sheet.  It is taken from the "Discount Rate for this Analysis" value on the "Basic Data" sheet in this workbook.</t>
        </r>
      </text>
    </comment>
    <comment ref="W10" authorId="0">
      <text>
        <r>
          <rPr>
            <sz val="10"/>
            <color indexed="81"/>
            <rFont val="Tahoma"/>
            <family val="2"/>
          </rPr>
          <t xml:space="preserve">Future costs have not been discounted but energy price escalation has been applied. </t>
        </r>
      </text>
    </comment>
    <comment ref="F15" authorId="0">
      <text>
        <r>
          <rPr>
            <sz val="10"/>
            <color indexed="81"/>
            <rFont val="Tahoma"/>
            <family val="2"/>
          </rPr>
          <t>OPERATIONS-RELATED non-annually reoccurring costs... Use years 1 through 25 to indicate (future) operations-related non-annually reoccurring costs such as repair (costs in constant dollars).</t>
        </r>
      </text>
    </comment>
    <comment ref="I15" authorId="0">
      <text>
        <r>
          <rPr>
            <sz val="10"/>
            <color indexed="81"/>
            <rFont val="Tahoma"/>
            <family val="2"/>
          </rPr>
          <t>Any entry here will be treated as the average for all periods in this analysis. This value is taken from the Uniform Price Escalation Rate entry on the Basic data tab sheet.</t>
        </r>
      </text>
    </comment>
    <comment ref="K15" authorId="1">
      <text>
        <r>
          <rPr>
            <sz val="10"/>
            <color indexed="81"/>
            <rFont val="Tahoma"/>
            <family val="2"/>
          </rPr>
          <t>This is the product of the escalation rates during design &amp; construction years, if any.</t>
        </r>
      </text>
    </comment>
    <comment ref="N15" authorId="0">
      <text>
        <r>
          <rPr>
            <sz val="10"/>
            <color indexed="81"/>
            <rFont val="Tahoma"/>
            <family val="2"/>
          </rPr>
          <t>Enter estimated annual secondary utility cost (in constant dollars).</t>
        </r>
      </text>
    </comment>
    <comment ref="O15" authorId="0">
      <text>
        <r>
          <rPr>
            <sz val="10"/>
            <color indexed="81"/>
            <rFont val="Tahoma"/>
            <family val="2"/>
          </rPr>
          <t>Any entry here will be treated as the average for all periods in this analysis. This value is taken from the Uniform Price Escalation Rate entry on the Basic data tab sheet.</t>
        </r>
      </text>
    </comment>
    <comment ref="Q15" authorId="1">
      <text>
        <r>
          <rPr>
            <sz val="10"/>
            <color indexed="81"/>
            <rFont val="Tahoma"/>
            <family val="2"/>
          </rPr>
          <t>This is the product of the escalation rates during design &amp; construction years, if any.</t>
        </r>
      </text>
    </comment>
    <comment ref="T15" authorId="0">
      <text>
        <r>
          <rPr>
            <sz val="10"/>
            <color indexed="81"/>
            <rFont val="Tahoma"/>
            <family val="2"/>
          </rPr>
          <t>Enter annual recurring costs for items such as maintenance.  Note that these items will not be adjusted using any differential price escalation.  Use constant dollars.</t>
        </r>
      </text>
    </comment>
    <comment ref="X43" authorId="0">
      <text>
        <r>
          <rPr>
            <sz val="10"/>
            <color indexed="81"/>
            <rFont val="Tahoma"/>
            <family val="2"/>
          </rPr>
          <t>This is the Total Life-Cycle Cost for this alternative.</t>
        </r>
      </text>
    </comment>
  </commentList>
</comments>
</file>

<file path=xl/comments12.xml><?xml version="1.0" encoding="utf-8"?>
<comments xmlns="http://schemas.openxmlformats.org/spreadsheetml/2006/main">
  <authors>
    <author>Marlin S. Addison</author>
  </authors>
  <commentList>
    <comment ref="B36" authorId="0">
      <text>
        <r>
          <rPr>
            <sz val="10"/>
            <color indexed="81"/>
            <rFont val="Tahoma"/>
            <family val="2"/>
          </rPr>
          <t>LCC choice minus Simple Payback choice</t>
        </r>
      </text>
    </comment>
  </commentList>
</comments>
</file>

<file path=xl/comments13.xml><?xml version="1.0" encoding="utf-8"?>
<comments xmlns="http://schemas.openxmlformats.org/spreadsheetml/2006/main">
  <authors>
    <author>A satisfied Microsoft Office user</author>
  </authors>
  <commentList>
    <comment ref="B6" authorId="0">
      <text>
        <r>
          <rPr>
            <sz val="8"/>
            <color indexed="81"/>
            <rFont val="Tahoma"/>
            <family val="2"/>
          </rPr>
          <t>This FEMP discount rate is taken from the "Basic Data" sheet (1st sheet in this workbook)</t>
        </r>
      </text>
    </comment>
    <comment ref="C6" authorId="0">
      <text>
        <r>
          <rPr>
            <sz val="8"/>
            <color indexed="81"/>
            <rFont val="Tahoma"/>
            <family val="2"/>
          </rPr>
          <t>This Short Term OMB discount rate is taken from the "Basic Data" sheet (1st sheet in this workbook)</t>
        </r>
      </text>
    </comment>
    <comment ref="D6" authorId="0">
      <text>
        <r>
          <rPr>
            <sz val="8"/>
            <color indexed="81"/>
            <rFont val="Tahoma"/>
            <family val="2"/>
          </rPr>
          <t>This Long Term OMB discount rate is taken from the "Basic Data" sheet (1st sheet in this workbook)</t>
        </r>
      </text>
    </comment>
  </commentList>
</comments>
</file>

<file path=xl/comments14.xml><?xml version="1.0" encoding="utf-8"?>
<comments xmlns="http://schemas.openxmlformats.org/spreadsheetml/2006/main">
  <authors>
    <author>A satisfied Microsoft Office user</author>
  </authors>
  <commentList>
    <comment ref="B7" authorId="0">
      <text>
        <r>
          <rPr>
            <sz val="8"/>
            <color indexed="81"/>
            <rFont val="Tahoma"/>
            <family val="2"/>
          </rPr>
          <t>This FEMP discount rate is taken from the "Basic Data" sheet (1st sheet in this workbook)</t>
        </r>
      </text>
    </comment>
    <comment ref="C7" authorId="0">
      <text>
        <r>
          <rPr>
            <sz val="8"/>
            <color indexed="81"/>
            <rFont val="Tahoma"/>
            <family val="2"/>
          </rPr>
          <t>This Short Term OMB discount rate is taken from the "Basic Data" sheet (1st sheet in this workbook)</t>
        </r>
      </text>
    </comment>
    <comment ref="D7" authorId="0">
      <text>
        <r>
          <rPr>
            <sz val="8"/>
            <color indexed="81"/>
            <rFont val="Tahoma"/>
            <family val="2"/>
          </rPr>
          <t>This Long Term OMB discount rate is taken from the "Basic Data" sheet (1st sheet in this workbook)</t>
        </r>
      </text>
    </comment>
  </commentList>
</comments>
</file>

<file path=xl/comments15.xml><?xml version="1.0" encoding="utf-8"?>
<comments xmlns="http://schemas.openxmlformats.org/spreadsheetml/2006/main">
  <authors>
    <author>A satisfied Microsoft Office user</author>
  </authors>
  <commentList>
    <comment ref="I4" authorId="0">
      <text>
        <r>
          <rPr>
            <sz val="8"/>
            <color indexed="81"/>
            <rFont val="Tahoma"/>
            <family val="2"/>
          </rPr>
          <t>This DOE discount rate is taken from the "FEMP Discount Rate" on the "Basic Data" sheet (1st sheet in this workbook).</t>
        </r>
      </text>
    </comment>
  </commentList>
</comments>
</file>

<file path=xl/comments2.xml><?xml version="1.0" encoding="utf-8"?>
<comments xmlns="http://schemas.openxmlformats.org/spreadsheetml/2006/main">
  <authors>
    <author>A satisfied Microsoft Office user</author>
    <author xml:space="preserve"> </author>
  </authors>
  <commentList>
    <comment ref="N3" authorId="0">
      <text>
        <r>
          <rPr>
            <sz val="10"/>
            <color indexed="81"/>
            <rFont val="Tahoma"/>
            <family val="2"/>
          </rPr>
          <t xml:space="preserve">This is the period of assumed occupancy or project operation in the LCC calculations on this sheet.  </t>
        </r>
      </text>
    </comment>
    <comment ref="T3" authorId="0">
      <text>
        <r>
          <rPr>
            <sz val="10"/>
            <color indexed="81"/>
            <rFont val="Tahoma"/>
            <family val="2"/>
          </rPr>
          <t>This is the fiscal year used as the basis of the DOE fuel price escalation rates used in the LCC calculations on this sheet.  It is taken from the "DOE/FEMP Fiscal Year" value on the "Basic Data" sheet in this workbook.</t>
        </r>
      </text>
    </comment>
    <comment ref="X3" authorId="0">
      <text>
        <r>
          <rPr>
            <sz val="10"/>
            <color indexed="81"/>
            <rFont val="Tahoma"/>
            <family val="2"/>
          </rPr>
          <t>This is the DOE region used to select fuel price escalation rates for the LCC calculations on this sheet.  It is taken from the "DOE Fuel Price Escalation" value (number from 1 to 5) on the "Basic Data" sheet in this workbook.</t>
        </r>
      </text>
    </comment>
    <comment ref="N4" authorId="0">
      <text>
        <r>
          <rPr>
            <sz val="10"/>
            <color indexed="81"/>
            <rFont val="Tahoma"/>
            <family val="2"/>
          </rPr>
          <t>This is the period of analysis used in the LCC calculations on this sheet.  It is taken from the "Number of Analysis Years" value on the "Basic Data" sheet in this workbook.</t>
        </r>
      </text>
    </comment>
    <comment ref="T4" authorId="0">
      <text>
        <r>
          <rPr>
            <sz val="10"/>
            <color indexed="81"/>
            <rFont val="Tahoma"/>
            <family val="2"/>
          </rPr>
          <t>This is the Operations costs discount rate used in the LCC calculations on this sheet.  It is taken from the "Discount Rate for this Analysis" value on the "Basic Data" sheet in this workbook.</t>
        </r>
      </text>
    </comment>
    <comment ref="X4" authorId="0">
      <text>
        <r>
          <rPr>
            <sz val="10"/>
            <color indexed="81"/>
            <rFont val="Tahoma"/>
            <family val="2"/>
          </rPr>
          <t>This is the DOE analysis sector used to select fuel price escalation rates for the LCC calculations on this sheet.  It is taken from the "Analysis Sector" value (number from 1 to 3) on the "Basic Data" sheet in this workbook.</t>
        </r>
      </text>
    </comment>
    <comment ref="T5" authorId="0">
      <text>
        <r>
          <rPr>
            <sz val="10"/>
            <color indexed="81"/>
            <rFont val="Tahoma"/>
            <family val="2"/>
          </rPr>
          <t>This is the Capital costs discount rate used in the LCC calculations on this sheet.  It is taken from the "Discount Rate for this Analysis" value on the "Basic Data" sheet in this workbook.</t>
        </r>
      </text>
    </comment>
    <comment ref="W10" authorId="0">
      <text>
        <r>
          <rPr>
            <sz val="10"/>
            <color indexed="81"/>
            <rFont val="Tahoma"/>
            <family val="2"/>
          </rPr>
          <t xml:space="preserve">Future costs have not been discounted but energy price escalation has been applied. </t>
        </r>
      </text>
    </comment>
    <comment ref="C15" authorId="0">
      <text>
        <r>
          <rPr>
            <sz val="10"/>
            <color indexed="81"/>
            <rFont val="Tahoma"/>
            <family val="2"/>
          </rPr>
          <t>INVESTMENT-RELATED COSTS…
Enter acquisition cost in year 0.  Use years 1 through 25 to indicate other (future) INVESTMENT-RELATED non-annually reoccurring costs such as repair or salvage (costs in constant dollars).</t>
        </r>
      </text>
    </comment>
    <comment ref="F15" authorId="0">
      <text>
        <r>
          <rPr>
            <sz val="10"/>
            <color indexed="81"/>
            <rFont val="Tahoma"/>
            <family val="2"/>
          </rPr>
          <t>OPERATIONS-RELATED non-annually reoccurring costs... Use years 1 through 25 to indicate (future) operations-related non-annually reoccurring costs such as repair (costs in constant dollars).</t>
        </r>
      </text>
    </comment>
    <comment ref="H15" authorId="0">
      <text>
        <r>
          <rPr>
            <sz val="10"/>
            <color indexed="81"/>
            <rFont val="Tahoma"/>
            <family val="2"/>
          </rPr>
          <t>Enter estimated annual electric utility cost (in constant dollars).</t>
        </r>
      </text>
    </comment>
    <comment ref="I15" authorId="0">
      <text>
        <r>
          <rPr>
            <sz val="10"/>
            <color indexed="81"/>
            <rFont val="Tahoma"/>
            <family val="2"/>
          </rPr>
          <t>Any entry here will be treated as the average for all periods in this analysis. This value is taken from the Uniform Price Escalation Rate entry on the Basic data tab sheet.</t>
        </r>
      </text>
    </comment>
    <comment ref="K15" authorId="1">
      <text>
        <r>
          <rPr>
            <sz val="10"/>
            <color indexed="81"/>
            <rFont val="Tahoma"/>
            <family val="2"/>
          </rPr>
          <t>This is the product of the escalation rates during design &amp; construction years, if any.</t>
        </r>
      </text>
    </comment>
    <comment ref="N15" authorId="0">
      <text>
        <r>
          <rPr>
            <sz val="10"/>
            <color indexed="81"/>
            <rFont val="Tahoma"/>
            <family val="2"/>
          </rPr>
          <t>Enter estimated annual secondary utility cost (in constant dollars).</t>
        </r>
      </text>
    </comment>
    <comment ref="O15" authorId="0">
      <text>
        <r>
          <rPr>
            <sz val="10"/>
            <color indexed="81"/>
            <rFont val="Tahoma"/>
            <family val="2"/>
          </rPr>
          <t>Any entry here will be treated as the average for all periods in this analysis. This value is taken from the Uniform Price Escalation Rate entry on the Basic data tab sheet.</t>
        </r>
      </text>
    </comment>
    <comment ref="Q15" authorId="1">
      <text>
        <r>
          <rPr>
            <sz val="10"/>
            <color indexed="81"/>
            <rFont val="Tahoma"/>
            <family val="2"/>
          </rPr>
          <t>This is the product of the escalation rates during design &amp; construction years, if any.</t>
        </r>
      </text>
    </comment>
    <comment ref="T15" authorId="0">
      <text>
        <r>
          <rPr>
            <sz val="10"/>
            <color indexed="81"/>
            <rFont val="Tahoma"/>
            <family val="2"/>
          </rPr>
          <t>Enter annual recurring costs for items such as maintenance.  Note that these items will not be adjusted using any differential price escalation.  Use constant dollars.</t>
        </r>
      </text>
    </comment>
    <comment ref="X43" authorId="0">
      <text>
        <r>
          <rPr>
            <sz val="10"/>
            <color indexed="81"/>
            <rFont val="Tahoma"/>
            <family val="2"/>
          </rPr>
          <t>This is the Total Life-Cycle Cost for this alternative.</t>
        </r>
      </text>
    </comment>
  </commentList>
</comments>
</file>

<file path=xl/comments3.xml><?xml version="1.0" encoding="utf-8"?>
<comments xmlns="http://schemas.openxmlformats.org/spreadsheetml/2006/main">
  <authors>
    <author>A satisfied Microsoft Office user</author>
    <author xml:space="preserve"> </author>
  </authors>
  <commentList>
    <comment ref="N3" authorId="0">
      <text>
        <r>
          <rPr>
            <sz val="10"/>
            <color indexed="81"/>
            <rFont val="Tahoma"/>
            <family val="2"/>
          </rPr>
          <t xml:space="preserve">This is the period of assumed occupancy or project operation in the LCC calculations on this sheet.  </t>
        </r>
      </text>
    </comment>
    <comment ref="T3" authorId="0">
      <text>
        <r>
          <rPr>
            <sz val="10"/>
            <color indexed="81"/>
            <rFont val="Tahoma"/>
            <family val="2"/>
          </rPr>
          <t>This is the fiscal year used as the basis of the DOE fuel price escalation rates used in the LCC calculations on this sheet.  It is taken from the "DOE/FEMP Fiscal Year" value on the "Basic Data" sheet in this workbook.</t>
        </r>
      </text>
    </comment>
    <comment ref="X3" authorId="0">
      <text>
        <r>
          <rPr>
            <sz val="10"/>
            <color indexed="81"/>
            <rFont val="Tahoma"/>
            <family val="2"/>
          </rPr>
          <t>This is the DOE region used to select fuel price escalation rates for the LCC calculations on this sheet.  It is taken from the "DOE Fuel Price Escalation" value (number from 1 to 5) on the "Basic Data" sheet in this workbook.</t>
        </r>
      </text>
    </comment>
    <comment ref="N4" authorId="0">
      <text>
        <r>
          <rPr>
            <sz val="10"/>
            <color indexed="81"/>
            <rFont val="Tahoma"/>
            <family val="2"/>
          </rPr>
          <t>This is the period of analysis used in the LCC calculations on this sheet.  It is taken from the "Number of Analysis Years" value on the "Basic Data" sheet in this workbook.</t>
        </r>
      </text>
    </comment>
    <comment ref="T4" authorId="0">
      <text>
        <r>
          <rPr>
            <sz val="10"/>
            <color indexed="81"/>
            <rFont val="Tahoma"/>
            <family val="2"/>
          </rPr>
          <t>This is the Operations costs discount rate used in the LCC calculations on this sheet.  It is taken from the "Discount Rate for this Analysis" value on the "Basic Data" sheet in this workbook.</t>
        </r>
      </text>
    </comment>
    <comment ref="X4" authorId="0">
      <text>
        <r>
          <rPr>
            <sz val="10"/>
            <color indexed="81"/>
            <rFont val="Tahoma"/>
            <family val="2"/>
          </rPr>
          <t>This is the DOE analysis sector used to select fuel price escalation rates for the LCC calculations on this sheet.  It is taken from the "Analysis Sector" value (number from 1 to 3) on the "Basic Data" sheet in this workbook.</t>
        </r>
      </text>
    </comment>
    <comment ref="T5" authorId="0">
      <text>
        <r>
          <rPr>
            <sz val="10"/>
            <color indexed="81"/>
            <rFont val="Tahoma"/>
            <family val="2"/>
          </rPr>
          <t>This is the Capital costs discount rate used in the LCC calculations on this sheet.  It is taken from the "Discount Rate for this Analysis" value on the "Basic Data" sheet in this workbook.</t>
        </r>
      </text>
    </comment>
    <comment ref="W10" authorId="0">
      <text>
        <r>
          <rPr>
            <sz val="10"/>
            <color indexed="81"/>
            <rFont val="Tahoma"/>
            <family val="2"/>
          </rPr>
          <t xml:space="preserve">Future costs have not been discounted but energy price escalation has been applied. </t>
        </r>
      </text>
    </comment>
    <comment ref="F15" authorId="0">
      <text>
        <r>
          <rPr>
            <sz val="10"/>
            <color indexed="81"/>
            <rFont val="Tahoma"/>
            <family val="2"/>
          </rPr>
          <t>OPERATIONS-RELATED non-annually reoccurring costs... Use years 1 through 25 to indicate (future) operations-related non-annually reoccurring costs such as repair (costs in constant dollars).</t>
        </r>
      </text>
    </comment>
    <comment ref="I15" authorId="0">
      <text>
        <r>
          <rPr>
            <sz val="10"/>
            <color indexed="81"/>
            <rFont val="Tahoma"/>
            <family val="2"/>
          </rPr>
          <t>Any entry here will be treated as the average for all periods in this analysis. This value is taken from the Uniform Price Escalation Rate entry on the Basic data tab sheet.</t>
        </r>
      </text>
    </comment>
    <comment ref="K15" authorId="1">
      <text>
        <r>
          <rPr>
            <sz val="10"/>
            <color indexed="81"/>
            <rFont val="Tahoma"/>
            <family val="2"/>
          </rPr>
          <t>This is the product of the escalation rates during design &amp; construction years, if any.</t>
        </r>
      </text>
    </comment>
    <comment ref="N15" authorId="0">
      <text>
        <r>
          <rPr>
            <sz val="10"/>
            <color indexed="81"/>
            <rFont val="Tahoma"/>
            <family val="2"/>
          </rPr>
          <t>Enter estimated annual secondary utility cost (in constant dollars).</t>
        </r>
      </text>
    </comment>
    <comment ref="O15" authorId="0">
      <text>
        <r>
          <rPr>
            <sz val="10"/>
            <color indexed="81"/>
            <rFont val="Tahoma"/>
            <family val="2"/>
          </rPr>
          <t>Any entry here will be treated as the average for all periods in this analysis. This value is taken from the Uniform Price Escalation Rate entry on the Basic data tab sheet.</t>
        </r>
      </text>
    </comment>
    <comment ref="Q15" authorId="1">
      <text>
        <r>
          <rPr>
            <sz val="10"/>
            <color indexed="81"/>
            <rFont val="Tahoma"/>
            <family val="2"/>
          </rPr>
          <t>This is the product of the escalation rates during design &amp; construction years, if any.</t>
        </r>
      </text>
    </comment>
    <comment ref="T15" authorId="0">
      <text>
        <r>
          <rPr>
            <sz val="10"/>
            <color indexed="81"/>
            <rFont val="Tahoma"/>
            <family val="2"/>
          </rPr>
          <t>Enter annual recurring costs for items such as maintenance.  Note that these items will not be adjusted using any differential price escalation.  Use constant dollars.</t>
        </r>
      </text>
    </comment>
    <comment ref="X43" authorId="0">
      <text>
        <r>
          <rPr>
            <sz val="10"/>
            <color indexed="81"/>
            <rFont val="Tahoma"/>
            <family val="2"/>
          </rPr>
          <t>This is the Total Life-Cycle Cost for this alternative.</t>
        </r>
      </text>
    </comment>
  </commentList>
</comments>
</file>

<file path=xl/comments4.xml><?xml version="1.0" encoding="utf-8"?>
<comments xmlns="http://schemas.openxmlformats.org/spreadsheetml/2006/main">
  <authors>
    <author>A satisfied Microsoft Office user</author>
    <author xml:space="preserve"> </author>
  </authors>
  <commentList>
    <comment ref="N3" authorId="0">
      <text>
        <r>
          <rPr>
            <sz val="10"/>
            <color indexed="81"/>
            <rFont val="Tahoma"/>
            <family val="2"/>
          </rPr>
          <t xml:space="preserve">This is the period of assumed occupancy or project operation in the LCC calculations on this sheet.  </t>
        </r>
      </text>
    </comment>
    <comment ref="T3" authorId="0">
      <text>
        <r>
          <rPr>
            <sz val="10"/>
            <color indexed="81"/>
            <rFont val="Tahoma"/>
            <family val="2"/>
          </rPr>
          <t>This is the fiscal year used as the basis of the DOE fuel price escalation rates used in the LCC calculations on this sheet.  It is taken from the "DOE/FEMP Fiscal Year" value on the "Basic Data" sheet in this workbook.</t>
        </r>
      </text>
    </comment>
    <comment ref="X3" authorId="0">
      <text>
        <r>
          <rPr>
            <sz val="10"/>
            <color indexed="81"/>
            <rFont val="Tahoma"/>
            <family val="2"/>
          </rPr>
          <t>This is the DOE region used to select fuel price escalation rates for the LCC calculations on this sheet.  It is taken from the "DOE Fuel Price Escalation" value (number from 1 to 5) on the "Basic Data" sheet in this workbook.</t>
        </r>
      </text>
    </comment>
    <comment ref="N4" authorId="0">
      <text>
        <r>
          <rPr>
            <sz val="10"/>
            <color indexed="81"/>
            <rFont val="Tahoma"/>
            <family val="2"/>
          </rPr>
          <t>This is the period of analysis used in the LCC calculations on this sheet.  It is taken from the "Number of Analysis Years" value on the "Basic Data" sheet in this workbook.</t>
        </r>
      </text>
    </comment>
    <comment ref="T4" authorId="0">
      <text>
        <r>
          <rPr>
            <sz val="10"/>
            <color indexed="81"/>
            <rFont val="Tahoma"/>
            <family val="2"/>
          </rPr>
          <t>This is the Operations costs discount rate used in the LCC calculations on this sheet.  It is taken from the "Discount Rate for this Analysis" value on the "Basic Data" sheet in this workbook.</t>
        </r>
      </text>
    </comment>
    <comment ref="X4" authorId="0">
      <text>
        <r>
          <rPr>
            <sz val="10"/>
            <color indexed="81"/>
            <rFont val="Tahoma"/>
            <family val="2"/>
          </rPr>
          <t>This is the DOE analysis sector used to select fuel price escalation rates for the LCC calculations on this sheet.  It is taken from the "Analysis Sector" value (number from 1 to 3) on the "Basic Data" sheet in this workbook.</t>
        </r>
      </text>
    </comment>
    <comment ref="T5" authorId="0">
      <text>
        <r>
          <rPr>
            <sz val="10"/>
            <color indexed="81"/>
            <rFont val="Tahoma"/>
            <family val="2"/>
          </rPr>
          <t>This is the Capital costs discount rate used in the LCC calculations on this sheet.  It is taken from the "Discount Rate for this Analysis" value on the "Basic Data" sheet in this workbook.</t>
        </r>
      </text>
    </comment>
    <comment ref="W10" authorId="0">
      <text>
        <r>
          <rPr>
            <sz val="10"/>
            <color indexed="81"/>
            <rFont val="Tahoma"/>
            <family val="2"/>
          </rPr>
          <t xml:space="preserve">Future costs have not been discounted but energy price escalation has been applied. </t>
        </r>
      </text>
    </comment>
    <comment ref="F15" authorId="0">
      <text>
        <r>
          <rPr>
            <sz val="10"/>
            <color indexed="81"/>
            <rFont val="Tahoma"/>
            <family val="2"/>
          </rPr>
          <t>OPERATIONS-RELATED non-annually reoccurring costs... Use years 1 through 25 to indicate (future) operations-related non-annually reoccurring costs such as repair (costs in constant dollars).</t>
        </r>
      </text>
    </comment>
    <comment ref="I15" authorId="0">
      <text>
        <r>
          <rPr>
            <sz val="10"/>
            <color indexed="81"/>
            <rFont val="Tahoma"/>
            <family val="2"/>
          </rPr>
          <t>Any entry here will be treated as the average for all periods in this analysis. This value is taken from the Uniform Price Escalation Rate entry on the Basic data tab sheet.</t>
        </r>
      </text>
    </comment>
    <comment ref="K15" authorId="1">
      <text>
        <r>
          <rPr>
            <sz val="10"/>
            <color indexed="81"/>
            <rFont val="Tahoma"/>
            <family val="2"/>
          </rPr>
          <t>This is the product of the escalation rates during design &amp; construction years, if any.</t>
        </r>
      </text>
    </comment>
    <comment ref="N15" authorId="0">
      <text>
        <r>
          <rPr>
            <sz val="10"/>
            <color indexed="81"/>
            <rFont val="Tahoma"/>
            <family val="2"/>
          </rPr>
          <t>Enter estimated annual secondary utility cost (in constant dollars).</t>
        </r>
      </text>
    </comment>
    <comment ref="O15" authorId="0">
      <text>
        <r>
          <rPr>
            <sz val="10"/>
            <color indexed="81"/>
            <rFont val="Tahoma"/>
            <family val="2"/>
          </rPr>
          <t>Any entry here will be treated as the average for all periods in this analysis. This value is taken from the Uniform Price Escalation Rate entry on the Basic data tab sheet.</t>
        </r>
      </text>
    </comment>
    <comment ref="Q15" authorId="1">
      <text>
        <r>
          <rPr>
            <sz val="10"/>
            <color indexed="81"/>
            <rFont val="Tahoma"/>
            <family val="2"/>
          </rPr>
          <t>This is the product of the escalation rates during design &amp; construction years, if any.</t>
        </r>
      </text>
    </comment>
    <comment ref="T15" authorId="0">
      <text>
        <r>
          <rPr>
            <sz val="10"/>
            <color indexed="81"/>
            <rFont val="Tahoma"/>
            <family val="2"/>
          </rPr>
          <t>Enter annual recurring costs for items such as maintenance.  Note that these items will not be adjusted using any differential price escalation.  Use constant dollars.</t>
        </r>
      </text>
    </comment>
    <comment ref="X43" authorId="0">
      <text>
        <r>
          <rPr>
            <sz val="10"/>
            <color indexed="81"/>
            <rFont val="Tahoma"/>
            <family val="2"/>
          </rPr>
          <t>This is the Total Life-Cycle Cost for this alternative.</t>
        </r>
      </text>
    </comment>
  </commentList>
</comments>
</file>

<file path=xl/comments5.xml><?xml version="1.0" encoding="utf-8"?>
<comments xmlns="http://schemas.openxmlformats.org/spreadsheetml/2006/main">
  <authors>
    <author>A satisfied Microsoft Office user</author>
    <author xml:space="preserve"> </author>
  </authors>
  <commentList>
    <comment ref="N3" authorId="0">
      <text>
        <r>
          <rPr>
            <sz val="10"/>
            <color indexed="81"/>
            <rFont val="Tahoma"/>
            <family val="2"/>
          </rPr>
          <t xml:space="preserve">This is the period of assumed occupancy or project operation in the LCC calculations on this sheet.  </t>
        </r>
      </text>
    </comment>
    <comment ref="T3" authorId="0">
      <text>
        <r>
          <rPr>
            <sz val="10"/>
            <color indexed="81"/>
            <rFont val="Tahoma"/>
            <family val="2"/>
          </rPr>
          <t>This is the fiscal year used as the basis of the DOE fuel price escalation rates used in the LCC calculations on this sheet.  It is taken from the "DOE/FEMP Fiscal Year" value on the "Basic Data" sheet in this workbook.</t>
        </r>
      </text>
    </comment>
    <comment ref="X3" authorId="0">
      <text>
        <r>
          <rPr>
            <sz val="10"/>
            <color indexed="81"/>
            <rFont val="Tahoma"/>
            <family val="2"/>
          </rPr>
          <t>This is the DOE region used to select fuel price escalation rates for the LCC calculations on this sheet.  It is taken from the "DOE Fuel Price Escalation" value (number from 1 to 5) on the "Basic Data" sheet in this workbook.</t>
        </r>
      </text>
    </comment>
    <comment ref="N4" authorId="0">
      <text>
        <r>
          <rPr>
            <sz val="10"/>
            <color indexed="81"/>
            <rFont val="Tahoma"/>
            <family val="2"/>
          </rPr>
          <t>This is the period of analysis used in the LCC calculations on this sheet.  It is taken from the "Number of Analysis Years" value on the "Basic Data" sheet in this workbook.</t>
        </r>
      </text>
    </comment>
    <comment ref="T4" authorId="0">
      <text>
        <r>
          <rPr>
            <sz val="10"/>
            <color indexed="81"/>
            <rFont val="Tahoma"/>
            <family val="2"/>
          </rPr>
          <t>This is the Operations costs discount rate used in the LCC calculations on this sheet.  It is taken from the "Discount Rate for this Analysis" value on the "Basic Data" sheet in this workbook.</t>
        </r>
      </text>
    </comment>
    <comment ref="X4" authorId="0">
      <text>
        <r>
          <rPr>
            <sz val="10"/>
            <color indexed="81"/>
            <rFont val="Tahoma"/>
            <family val="2"/>
          </rPr>
          <t>This is the DOE analysis sector used to select fuel price escalation rates for the LCC calculations on this sheet.  It is taken from the "Analysis Sector" value (number from 1 to 3) on the "Basic Data" sheet in this workbook.</t>
        </r>
      </text>
    </comment>
    <comment ref="T5" authorId="0">
      <text>
        <r>
          <rPr>
            <sz val="10"/>
            <color indexed="81"/>
            <rFont val="Tahoma"/>
            <family val="2"/>
          </rPr>
          <t>This is the Capital costs discount rate used in the LCC calculations on this sheet.  It is taken from the "Discount Rate for this Analysis" value on the "Basic Data" sheet in this workbook.</t>
        </r>
      </text>
    </comment>
    <comment ref="W10" authorId="0">
      <text>
        <r>
          <rPr>
            <sz val="10"/>
            <color indexed="81"/>
            <rFont val="Tahoma"/>
            <family val="2"/>
          </rPr>
          <t xml:space="preserve">Future costs have not been discounted but energy price escalation has been applied. </t>
        </r>
      </text>
    </comment>
    <comment ref="F15" authorId="0">
      <text>
        <r>
          <rPr>
            <sz val="10"/>
            <color indexed="81"/>
            <rFont val="Tahoma"/>
            <family val="2"/>
          </rPr>
          <t>OPERATIONS-RELATED non-annually reoccurring costs... Use years 1 through 25 to indicate (future) operations-related non-annually reoccurring costs such as repair (costs in constant dollars).</t>
        </r>
      </text>
    </comment>
    <comment ref="I15" authorId="0">
      <text>
        <r>
          <rPr>
            <sz val="10"/>
            <color indexed="81"/>
            <rFont val="Tahoma"/>
            <family val="2"/>
          </rPr>
          <t>Any entry here will be treated as the average for all periods in this analysis. This value is taken from the Uniform Price Escalation Rate entry on the Basic data tab sheet.</t>
        </r>
      </text>
    </comment>
    <comment ref="K15" authorId="1">
      <text>
        <r>
          <rPr>
            <sz val="10"/>
            <color indexed="81"/>
            <rFont val="Tahoma"/>
            <family val="2"/>
          </rPr>
          <t>This is the product of the escalation rates during design &amp; construction years, if any.</t>
        </r>
      </text>
    </comment>
    <comment ref="N15" authorId="0">
      <text>
        <r>
          <rPr>
            <sz val="10"/>
            <color indexed="81"/>
            <rFont val="Tahoma"/>
            <family val="2"/>
          </rPr>
          <t>Enter estimated annual secondary utility cost (in constant dollars).</t>
        </r>
      </text>
    </comment>
    <comment ref="O15" authorId="0">
      <text>
        <r>
          <rPr>
            <sz val="10"/>
            <color indexed="81"/>
            <rFont val="Tahoma"/>
            <family val="2"/>
          </rPr>
          <t>Any entry here will be treated as the average for all periods in this analysis. This value is taken from the Uniform Price Escalation Rate entry on the Basic data tab sheet.</t>
        </r>
      </text>
    </comment>
    <comment ref="Q15" authorId="1">
      <text>
        <r>
          <rPr>
            <sz val="10"/>
            <color indexed="81"/>
            <rFont val="Tahoma"/>
            <family val="2"/>
          </rPr>
          <t>This is the product of the escalation rates during design &amp; construction years, if any.</t>
        </r>
      </text>
    </comment>
    <comment ref="T15" authorId="0">
      <text>
        <r>
          <rPr>
            <sz val="10"/>
            <color indexed="81"/>
            <rFont val="Tahoma"/>
            <family val="2"/>
          </rPr>
          <t>Enter annual recurring costs for items such as maintenance.  Note that these items will not be adjusted using any differential price escalation.  Use constant dollars.</t>
        </r>
      </text>
    </comment>
    <comment ref="X43" authorId="0">
      <text>
        <r>
          <rPr>
            <sz val="10"/>
            <color indexed="81"/>
            <rFont val="Tahoma"/>
            <family val="2"/>
          </rPr>
          <t>This is the Total Life-Cycle Cost for this alternative.</t>
        </r>
      </text>
    </comment>
  </commentList>
</comments>
</file>

<file path=xl/comments6.xml><?xml version="1.0" encoding="utf-8"?>
<comments xmlns="http://schemas.openxmlformats.org/spreadsheetml/2006/main">
  <authors>
    <author>A satisfied Microsoft Office user</author>
    <author xml:space="preserve"> </author>
  </authors>
  <commentList>
    <comment ref="N3" authorId="0">
      <text>
        <r>
          <rPr>
            <sz val="10"/>
            <color indexed="81"/>
            <rFont val="Tahoma"/>
            <family val="2"/>
          </rPr>
          <t xml:space="preserve">This is the period of assumed occupancy or project operation in the LCC calculations on this sheet.  </t>
        </r>
      </text>
    </comment>
    <comment ref="T3" authorId="0">
      <text>
        <r>
          <rPr>
            <sz val="10"/>
            <color indexed="81"/>
            <rFont val="Tahoma"/>
            <family val="2"/>
          </rPr>
          <t>This is the fiscal year used as the basis of the DOE fuel price escalation rates used in the LCC calculations on this sheet.  It is taken from the "DOE/FEMP Fiscal Year" value on the "Basic Data" sheet in this workbook.</t>
        </r>
      </text>
    </comment>
    <comment ref="X3" authorId="0">
      <text>
        <r>
          <rPr>
            <sz val="10"/>
            <color indexed="81"/>
            <rFont val="Tahoma"/>
            <family val="2"/>
          </rPr>
          <t>This is the DOE region used to select fuel price escalation rates for the LCC calculations on this sheet.  It is taken from the "DOE Fuel Price Escalation" value (number from 1 to 5) on the "Basic Data" sheet in this workbook.</t>
        </r>
      </text>
    </comment>
    <comment ref="N4" authorId="0">
      <text>
        <r>
          <rPr>
            <sz val="10"/>
            <color indexed="81"/>
            <rFont val="Tahoma"/>
            <family val="2"/>
          </rPr>
          <t>This is the period of analysis used in the LCC calculations on this sheet.  It is taken from the "Number of Analysis Years" value on the "Basic Data" sheet in this workbook.</t>
        </r>
      </text>
    </comment>
    <comment ref="T4" authorId="0">
      <text>
        <r>
          <rPr>
            <sz val="10"/>
            <color indexed="81"/>
            <rFont val="Tahoma"/>
            <family val="2"/>
          </rPr>
          <t>This is the Operations costs discount rate used in the LCC calculations on this sheet.  It is taken from the "Discount Rate for this Analysis" value on the "Basic Data" sheet in this workbook.</t>
        </r>
      </text>
    </comment>
    <comment ref="X4" authorId="0">
      <text>
        <r>
          <rPr>
            <sz val="10"/>
            <color indexed="81"/>
            <rFont val="Tahoma"/>
            <family val="2"/>
          </rPr>
          <t>This is the DOE analysis sector used to select fuel price escalation rates for the LCC calculations on this sheet.  It is taken from the "Analysis Sector" value (number from 1 to 3) on the "Basic Data" sheet in this workbook.</t>
        </r>
      </text>
    </comment>
    <comment ref="T5" authorId="0">
      <text>
        <r>
          <rPr>
            <sz val="10"/>
            <color indexed="81"/>
            <rFont val="Tahoma"/>
            <family val="2"/>
          </rPr>
          <t>This is the Capital costs discount rate used in the LCC calculations on this sheet.  It is taken from the "Discount Rate for this Analysis" value on the "Basic Data" sheet in this workbook.</t>
        </r>
      </text>
    </comment>
    <comment ref="W10" authorId="0">
      <text>
        <r>
          <rPr>
            <sz val="10"/>
            <color indexed="81"/>
            <rFont val="Tahoma"/>
            <family val="2"/>
          </rPr>
          <t xml:space="preserve">Future costs have not been discounted but energy price escalation has been applied. </t>
        </r>
      </text>
    </comment>
    <comment ref="F15" authorId="0">
      <text>
        <r>
          <rPr>
            <sz val="10"/>
            <color indexed="81"/>
            <rFont val="Tahoma"/>
            <family val="2"/>
          </rPr>
          <t>OPERATIONS-RELATED non-annually reoccurring costs... Use years 1 through 25 to indicate (future) operations-related non-annually reoccurring costs such as repair (costs in constant dollars).</t>
        </r>
      </text>
    </comment>
    <comment ref="I15" authorId="0">
      <text>
        <r>
          <rPr>
            <sz val="10"/>
            <color indexed="81"/>
            <rFont val="Tahoma"/>
            <family val="2"/>
          </rPr>
          <t>Any entry here will be treated as the average for all periods in this analysis. This value is taken from the Uniform Price Escalation Rate entry on the Basic data tab sheet.</t>
        </r>
      </text>
    </comment>
    <comment ref="K15" authorId="1">
      <text>
        <r>
          <rPr>
            <sz val="10"/>
            <color indexed="81"/>
            <rFont val="Tahoma"/>
            <family val="2"/>
          </rPr>
          <t>This is the product of the escalation rates during design &amp; construction years, if any.</t>
        </r>
      </text>
    </comment>
    <comment ref="N15" authorId="0">
      <text>
        <r>
          <rPr>
            <sz val="10"/>
            <color indexed="81"/>
            <rFont val="Tahoma"/>
            <family val="2"/>
          </rPr>
          <t>Enter estimated annual secondary utility cost (in constant dollars).</t>
        </r>
      </text>
    </comment>
    <comment ref="O15" authorId="0">
      <text>
        <r>
          <rPr>
            <sz val="10"/>
            <color indexed="81"/>
            <rFont val="Tahoma"/>
            <family val="2"/>
          </rPr>
          <t>Any entry here will be treated as the average for all periods in this analysis. This value is taken from the Uniform Price Escalation Rate entry on the Basic data tab sheet.</t>
        </r>
      </text>
    </comment>
    <comment ref="Q15" authorId="1">
      <text>
        <r>
          <rPr>
            <sz val="10"/>
            <color indexed="81"/>
            <rFont val="Tahoma"/>
            <family val="2"/>
          </rPr>
          <t>This is the product of the escalation rates during design &amp; construction years, if any.</t>
        </r>
      </text>
    </comment>
    <comment ref="T15" authorId="0">
      <text>
        <r>
          <rPr>
            <sz val="10"/>
            <color indexed="81"/>
            <rFont val="Tahoma"/>
            <family val="2"/>
          </rPr>
          <t>Enter annual recurring costs for items such as maintenance.  Note that these items will not be adjusted using any differential price escalation.  Use constant dollars.</t>
        </r>
      </text>
    </comment>
    <comment ref="X43" authorId="0">
      <text>
        <r>
          <rPr>
            <sz val="10"/>
            <color indexed="81"/>
            <rFont val="Tahoma"/>
            <family val="2"/>
          </rPr>
          <t>This is the Total Life-Cycle Cost for this alternative.</t>
        </r>
      </text>
    </comment>
  </commentList>
</comments>
</file>

<file path=xl/comments7.xml><?xml version="1.0" encoding="utf-8"?>
<comments xmlns="http://schemas.openxmlformats.org/spreadsheetml/2006/main">
  <authors>
    <author>A satisfied Microsoft Office user</author>
    <author xml:space="preserve"> </author>
  </authors>
  <commentList>
    <comment ref="N3" authorId="0">
      <text>
        <r>
          <rPr>
            <sz val="10"/>
            <color indexed="81"/>
            <rFont val="Tahoma"/>
            <family val="2"/>
          </rPr>
          <t xml:space="preserve">This is the period of assumed occupancy or project operation in the LCC calculations on this sheet.  </t>
        </r>
      </text>
    </comment>
    <comment ref="T3" authorId="0">
      <text>
        <r>
          <rPr>
            <sz val="10"/>
            <color indexed="81"/>
            <rFont val="Tahoma"/>
            <family val="2"/>
          </rPr>
          <t>This is the fiscal year used as the basis of the DOE fuel price escalation rates used in the LCC calculations on this sheet.  It is taken from the "DOE/FEMP Fiscal Year" value on the "Basic Data" sheet in this workbook.</t>
        </r>
      </text>
    </comment>
    <comment ref="X3" authorId="0">
      <text>
        <r>
          <rPr>
            <sz val="10"/>
            <color indexed="81"/>
            <rFont val="Tahoma"/>
            <family val="2"/>
          </rPr>
          <t>This is the DOE region used to select fuel price escalation rates for the LCC calculations on this sheet.  It is taken from the "DOE Fuel Price Escalation" value (number from 1 to 5) on the "Basic Data" sheet in this workbook.</t>
        </r>
      </text>
    </comment>
    <comment ref="N4" authorId="0">
      <text>
        <r>
          <rPr>
            <sz val="10"/>
            <color indexed="81"/>
            <rFont val="Tahoma"/>
            <family val="2"/>
          </rPr>
          <t>This is the period of analysis used in the LCC calculations on this sheet.  It is taken from the "Number of Analysis Years" value on the "Basic Data" sheet in this workbook.</t>
        </r>
      </text>
    </comment>
    <comment ref="T4" authorId="0">
      <text>
        <r>
          <rPr>
            <sz val="10"/>
            <color indexed="81"/>
            <rFont val="Tahoma"/>
            <family val="2"/>
          </rPr>
          <t>This is the Operations costs discount rate used in the LCC calculations on this sheet.  It is taken from the "Discount Rate for this Analysis" value on the "Basic Data" sheet in this workbook.</t>
        </r>
      </text>
    </comment>
    <comment ref="X4" authorId="0">
      <text>
        <r>
          <rPr>
            <sz val="10"/>
            <color indexed="81"/>
            <rFont val="Tahoma"/>
            <family val="2"/>
          </rPr>
          <t>This is the DOE analysis sector used to select fuel price escalation rates for the LCC calculations on this sheet.  It is taken from the "Analysis Sector" value (number from 1 to 3) on the "Basic Data" sheet in this workbook.</t>
        </r>
      </text>
    </comment>
    <comment ref="T5" authorId="0">
      <text>
        <r>
          <rPr>
            <sz val="10"/>
            <color indexed="81"/>
            <rFont val="Tahoma"/>
            <family val="2"/>
          </rPr>
          <t>This is the Capital costs discount rate used in the LCC calculations on this sheet.  It is taken from the "Discount Rate for this Analysis" value on the "Basic Data" sheet in this workbook.</t>
        </r>
      </text>
    </comment>
    <comment ref="W10" authorId="0">
      <text>
        <r>
          <rPr>
            <sz val="10"/>
            <color indexed="81"/>
            <rFont val="Tahoma"/>
            <family val="2"/>
          </rPr>
          <t xml:space="preserve">Future costs have not been discounted but energy price escalation has been applied. </t>
        </r>
      </text>
    </comment>
    <comment ref="F15" authorId="0">
      <text>
        <r>
          <rPr>
            <sz val="10"/>
            <color indexed="81"/>
            <rFont val="Tahoma"/>
            <family val="2"/>
          </rPr>
          <t>OPERATIONS-RELATED non-annually reoccurring costs... Use years 1 through 25 to indicate (future) operations-related non-annually reoccurring costs such as repair (costs in constant dollars).</t>
        </r>
      </text>
    </comment>
    <comment ref="I15" authorId="0">
      <text>
        <r>
          <rPr>
            <sz val="10"/>
            <color indexed="81"/>
            <rFont val="Tahoma"/>
            <family val="2"/>
          </rPr>
          <t>Any entry here will be treated as the average for all periods in this analysis. This value is taken from the Uniform Price Escalation Rate entry on the Basic data tab sheet.</t>
        </r>
      </text>
    </comment>
    <comment ref="K15" authorId="1">
      <text>
        <r>
          <rPr>
            <sz val="10"/>
            <color indexed="81"/>
            <rFont val="Tahoma"/>
            <family val="2"/>
          </rPr>
          <t>This is the product of the escalation rates during design &amp; construction years, if any.</t>
        </r>
      </text>
    </comment>
    <comment ref="N15" authorId="0">
      <text>
        <r>
          <rPr>
            <sz val="10"/>
            <color indexed="81"/>
            <rFont val="Tahoma"/>
            <family val="2"/>
          </rPr>
          <t>Enter estimated annual secondary utility cost (in constant dollars).</t>
        </r>
      </text>
    </comment>
    <comment ref="O15" authorId="0">
      <text>
        <r>
          <rPr>
            <sz val="10"/>
            <color indexed="81"/>
            <rFont val="Tahoma"/>
            <family val="2"/>
          </rPr>
          <t>Any entry here will be treated as the average for all periods in this analysis. This value is taken from the Uniform Price Escalation Rate entry on the Basic data tab sheet.</t>
        </r>
      </text>
    </comment>
    <comment ref="Q15" authorId="1">
      <text>
        <r>
          <rPr>
            <sz val="10"/>
            <color indexed="81"/>
            <rFont val="Tahoma"/>
            <family val="2"/>
          </rPr>
          <t>This is the product of the escalation rates during design &amp; construction years, if any.</t>
        </r>
      </text>
    </comment>
    <comment ref="T15" authorId="0">
      <text>
        <r>
          <rPr>
            <sz val="10"/>
            <color indexed="81"/>
            <rFont val="Tahoma"/>
            <family val="2"/>
          </rPr>
          <t>Enter annual recurring costs for items such as maintenance.  Note that these items will not be adjusted using any differential price escalation.  Use constant dollars.</t>
        </r>
      </text>
    </comment>
    <comment ref="X43" authorId="0">
      <text>
        <r>
          <rPr>
            <sz val="10"/>
            <color indexed="81"/>
            <rFont val="Tahoma"/>
            <family val="2"/>
          </rPr>
          <t>This is the Total Life-Cycle Cost for this alternative.</t>
        </r>
      </text>
    </comment>
  </commentList>
</comments>
</file>

<file path=xl/comments8.xml><?xml version="1.0" encoding="utf-8"?>
<comments xmlns="http://schemas.openxmlformats.org/spreadsheetml/2006/main">
  <authors>
    <author>A satisfied Microsoft Office user</author>
    <author xml:space="preserve"> </author>
  </authors>
  <commentList>
    <comment ref="N3" authorId="0">
      <text>
        <r>
          <rPr>
            <sz val="10"/>
            <color indexed="81"/>
            <rFont val="Tahoma"/>
            <family val="2"/>
          </rPr>
          <t xml:space="preserve">This is the period of assumed occupancy or project operation in the LCC calculations on this sheet.  </t>
        </r>
      </text>
    </comment>
    <comment ref="T3" authorId="0">
      <text>
        <r>
          <rPr>
            <sz val="10"/>
            <color indexed="81"/>
            <rFont val="Tahoma"/>
            <family val="2"/>
          </rPr>
          <t>This is the fiscal year used as the basis of the DOE fuel price escalation rates used in the LCC calculations on this sheet.  It is taken from the "DOE/FEMP Fiscal Year" value on the "Basic Data" sheet in this workbook.</t>
        </r>
      </text>
    </comment>
    <comment ref="X3" authorId="0">
      <text>
        <r>
          <rPr>
            <sz val="10"/>
            <color indexed="81"/>
            <rFont val="Tahoma"/>
            <family val="2"/>
          </rPr>
          <t>This is the DOE region used to select fuel price escalation rates for the LCC calculations on this sheet.  It is taken from the "DOE Fuel Price Escalation" value (number from 1 to 5) on the "Basic Data" sheet in this workbook.</t>
        </r>
      </text>
    </comment>
    <comment ref="N4" authorId="0">
      <text>
        <r>
          <rPr>
            <sz val="10"/>
            <color indexed="81"/>
            <rFont val="Tahoma"/>
            <family val="2"/>
          </rPr>
          <t>This is the period of analysis used in the LCC calculations on this sheet.  It is taken from the "Number of Analysis Years" value on the "Basic Data" sheet in this workbook.</t>
        </r>
      </text>
    </comment>
    <comment ref="T4" authorId="0">
      <text>
        <r>
          <rPr>
            <sz val="10"/>
            <color indexed="81"/>
            <rFont val="Tahoma"/>
            <family val="2"/>
          </rPr>
          <t>This is the Operations costs discount rate used in the LCC calculations on this sheet.  It is taken from the "Discount Rate for this Analysis" value on the "Basic Data" sheet in this workbook.</t>
        </r>
      </text>
    </comment>
    <comment ref="X4" authorId="0">
      <text>
        <r>
          <rPr>
            <sz val="10"/>
            <color indexed="81"/>
            <rFont val="Tahoma"/>
            <family val="2"/>
          </rPr>
          <t>This is the DOE analysis sector used to select fuel price escalation rates for the LCC calculations on this sheet.  It is taken from the "Analysis Sector" value (number from 1 to 3) on the "Basic Data" sheet in this workbook.</t>
        </r>
      </text>
    </comment>
    <comment ref="T5" authorId="0">
      <text>
        <r>
          <rPr>
            <sz val="10"/>
            <color indexed="81"/>
            <rFont val="Tahoma"/>
            <family val="2"/>
          </rPr>
          <t>This is the Capital costs discount rate used in the LCC calculations on this sheet.  It is taken from the "Discount Rate for this Analysis" value on the "Basic Data" sheet in this workbook.</t>
        </r>
      </text>
    </comment>
    <comment ref="W10" authorId="0">
      <text>
        <r>
          <rPr>
            <sz val="10"/>
            <color indexed="81"/>
            <rFont val="Tahoma"/>
            <family val="2"/>
          </rPr>
          <t xml:space="preserve">Future costs have not been discounted but energy price escalation has been applied. </t>
        </r>
      </text>
    </comment>
    <comment ref="F15" authorId="0">
      <text>
        <r>
          <rPr>
            <sz val="10"/>
            <color indexed="81"/>
            <rFont val="Tahoma"/>
            <family val="2"/>
          </rPr>
          <t>OPERATIONS-RELATED non-annually reoccurring costs... Use years 1 through 25 to indicate (future) operations-related non-annually reoccurring costs such as repair (costs in constant dollars).</t>
        </r>
      </text>
    </comment>
    <comment ref="I15" authorId="0">
      <text>
        <r>
          <rPr>
            <sz val="10"/>
            <color indexed="81"/>
            <rFont val="Tahoma"/>
            <family val="2"/>
          </rPr>
          <t>Any entry here will be treated as the average for all periods in this analysis. This value is taken from the Uniform Price Escalation Rate entry on the Basic data tab sheet.</t>
        </r>
      </text>
    </comment>
    <comment ref="K15" authorId="1">
      <text>
        <r>
          <rPr>
            <sz val="10"/>
            <color indexed="81"/>
            <rFont val="Tahoma"/>
            <family val="2"/>
          </rPr>
          <t>This is the product of the escalation rates during design &amp; construction years, if any.</t>
        </r>
      </text>
    </comment>
    <comment ref="N15" authorId="0">
      <text>
        <r>
          <rPr>
            <sz val="10"/>
            <color indexed="81"/>
            <rFont val="Tahoma"/>
            <family val="2"/>
          </rPr>
          <t>Enter estimated annual secondary utility cost (in constant dollars).</t>
        </r>
      </text>
    </comment>
    <comment ref="O15" authorId="0">
      <text>
        <r>
          <rPr>
            <sz val="10"/>
            <color indexed="81"/>
            <rFont val="Tahoma"/>
            <family val="2"/>
          </rPr>
          <t>Any entry here will be treated as the average for all periods in this analysis. This value is taken from the Uniform Price Escalation Rate entry on the Basic data tab sheet.</t>
        </r>
      </text>
    </comment>
    <comment ref="Q15" authorId="1">
      <text>
        <r>
          <rPr>
            <sz val="10"/>
            <color indexed="81"/>
            <rFont val="Tahoma"/>
            <family val="2"/>
          </rPr>
          <t>This is the product of the escalation rates during design &amp; construction years, if any.</t>
        </r>
      </text>
    </comment>
    <comment ref="T15" authorId="0">
      <text>
        <r>
          <rPr>
            <sz val="10"/>
            <color indexed="81"/>
            <rFont val="Tahoma"/>
            <family val="2"/>
          </rPr>
          <t>Enter annual recurring costs for items such as maintenance.  Note that these items will not be adjusted using any differential price escalation.  Use constant dollars.</t>
        </r>
      </text>
    </comment>
    <comment ref="X43" authorId="0">
      <text>
        <r>
          <rPr>
            <sz val="10"/>
            <color indexed="81"/>
            <rFont val="Tahoma"/>
            <family val="2"/>
          </rPr>
          <t>This is the Total Life-Cycle Cost for this alternative.</t>
        </r>
      </text>
    </comment>
  </commentList>
</comments>
</file>

<file path=xl/comments9.xml><?xml version="1.0" encoding="utf-8"?>
<comments xmlns="http://schemas.openxmlformats.org/spreadsheetml/2006/main">
  <authors>
    <author>A satisfied Microsoft Office user</author>
    <author xml:space="preserve"> </author>
  </authors>
  <commentList>
    <comment ref="N3" authorId="0">
      <text>
        <r>
          <rPr>
            <sz val="10"/>
            <color indexed="81"/>
            <rFont val="Tahoma"/>
            <family val="2"/>
          </rPr>
          <t xml:space="preserve">This is the period of assumed occupancy or project operation in the LCC calculations on this sheet.  </t>
        </r>
      </text>
    </comment>
    <comment ref="T3" authorId="0">
      <text>
        <r>
          <rPr>
            <sz val="10"/>
            <color indexed="81"/>
            <rFont val="Tahoma"/>
            <family val="2"/>
          </rPr>
          <t>This is the fiscal year used as the basis of the DOE fuel price escalation rates used in the LCC calculations on this sheet.  It is taken from the "DOE/FEMP Fiscal Year" value on the "Basic Data" sheet in this workbook.</t>
        </r>
      </text>
    </comment>
    <comment ref="X3" authorId="0">
      <text>
        <r>
          <rPr>
            <sz val="10"/>
            <color indexed="81"/>
            <rFont val="Tahoma"/>
            <family val="2"/>
          </rPr>
          <t>This is the DOE region used to select fuel price escalation rates for the LCC calculations on this sheet.  It is taken from the "DOE Fuel Price Escalation" value (number from 1 to 5) on the "Basic Data" sheet in this workbook.</t>
        </r>
      </text>
    </comment>
    <comment ref="N4" authorId="0">
      <text>
        <r>
          <rPr>
            <sz val="10"/>
            <color indexed="81"/>
            <rFont val="Tahoma"/>
            <family val="2"/>
          </rPr>
          <t>This is the period of analysis used in the LCC calculations on this sheet.  It is taken from the "Number of Analysis Years" value on the "Basic Data" sheet in this workbook.</t>
        </r>
      </text>
    </comment>
    <comment ref="T4" authorId="0">
      <text>
        <r>
          <rPr>
            <sz val="10"/>
            <color indexed="81"/>
            <rFont val="Tahoma"/>
            <family val="2"/>
          </rPr>
          <t>This is the Operations costs discount rate used in the LCC calculations on this sheet.  It is taken from the "Discount Rate for this Analysis" value on the "Basic Data" sheet in this workbook.</t>
        </r>
      </text>
    </comment>
    <comment ref="X4" authorId="0">
      <text>
        <r>
          <rPr>
            <sz val="10"/>
            <color indexed="81"/>
            <rFont val="Tahoma"/>
            <family val="2"/>
          </rPr>
          <t>This is the DOE analysis sector used to select fuel price escalation rates for the LCC calculations on this sheet.  It is taken from the "Analysis Sector" value (number from 1 to 3) on the "Basic Data" sheet in this workbook.</t>
        </r>
      </text>
    </comment>
    <comment ref="T5" authorId="0">
      <text>
        <r>
          <rPr>
            <sz val="10"/>
            <color indexed="81"/>
            <rFont val="Tahoma"/>
            <family val="2"/>
          </rPr>
          <t>This is the Capital costs discount rate used in the LCC calculations on this sheet.  It is taken from the "Discount Rate for this Analysis" value on the "Basic Data" sheet in this workbook.</t>
        </r>
      </text>
    </comment>
    <comment ref="W10" authorId="0">
      <text>
        <r>
          <rPr>
            <sz val="10"/>
            <color indexed="81"/>
            <rFont val="Tahoma"/>
            <family val="2"/>
          </rPr>
          <t xml:space="preserve">Future costs have not been discounted but energy price escalation has been applied. </t>
        </r>
      </text>
    </comment>
    <comment ref="F15" authorId="0">
      <text>
        <r>
          <rPr>
            <sz val="10"/>
            <color indexed="81"/>
            <rFont val="Tahoma"/>
            <family val="2"/>
          </rPr>
          <t>OPERATIONS-RELATED non-annually reoccurring costs... Use years 1 through 25 to indicate (future) operations-related non-annually reoccurring costs such as repair (costs in constant dollars).</t>
        </r>
      </text>
    </comment>
    <comment ref="I15" authorId="0">
      <text>
        <r>
          <rPr>
            <sz val="10"/>
            <color indexed="81"/>
            <rFont val="Tahoma"/>
            <family val="2"/>
          </rPr>
          <t>Any entry here will be treated as the average for all periods in this analysis. This value is taken from the Uniform Price Escalation Rate entry on the Basic data tab sheet.</t>
        </r>
      </text>
    </comment>
    <comment ref="K15" authorId="1">
      <text>
        <r>
          <rPr>
            <sz val="10"/>
            <color indexed="81"/>
            <rFont val="Tahoma"/>
            <family val="2"/>
          </rPr>
          <t>This is the product of the escalation rates during design &amp; construction years, if any.</t>
        </r>
      </text>
    </comment>
    <comment ref="N15" authorId="0">
      <text>
        <r>
          <rPr>
            <sz val="10"/>
            <color indexed="81"/>
            <rFont val="Tahoma"/>
            <family val="2"/>
          </rPr>
          <t>Enter estimated annual secondary utility cost (in constant dollars).</t>
        </r>
      </text>
    </comment>
    <comment ref="O15" authorId="0">
      <text>
        <r>
          <rPr>
            <sz val="10"/>
            <color indexed="81"/>
            <rFont val="Tahoma"/>
            <family val="2"/>
          </rPr>
          <t>Any entry here will be treated as the average for all periods in this analysis. This value is taken from the Uniform Price Escalation Rate entry on the Basic data tab sheet.</t>
        </r>
      </text>
    </comment>
    <comment ref="Q15" authorId="1">
      <text>
        <r>
          <rPr>
            <sz val="10"/>
            <color indexed="81"/>
            <rFont val="Tahoma"/>
            <family val="2"/>
          </rPr>
          <t>This is the product of the escalation rates during design &amp; construction years, if any.</t>
        </r>
      </text>
    </comment>
    <comment ref="T15" authorId="0">
      <text>
        <r>
          <rPr>
            <sz val="10"/>
            <color indexed="81"/>
            <rFont val="Tahoma"/>
            <family val="2"/>
          </rPr>
          <t>Enter annual recurring costs for items such as maintenance.  Note that these items will not be adjusted using any differential price escalation.  Use constant dollars.</t>
        </r>
      </text>
    </comment>
    <comment ref="X43" authorId="0">
      <text>
        <r>
          <rPr>
            <sz val="10"/>
            <color indexed="81"/>
            <rFont val="Tahoma"/>
            <family val="2"/>
          </rPr>
          <t>This is the Total Life-Cycle Cost for this alternative.</t>
        </r>
      </text>
    </comment>
  </commentList>
</comments>
</file>

<file path=xl/sharedStrings.xml><?xml version="1.0" encoding="utf-8"?>
<sst xmlns="http://schemas.openxmlformats.org/spreadsheetml/2006/main" count="1885" uniqueCount="261">
  <si>
    <t>USER-FRIENDLY BUILDING LIFE-CYCLE COST ANALYSIS</t>
  </si>
  <si>
    <t>User input fields are indicated in blue.</t>
  </si>
  <si>
    <t>Basic Data, this analysis</t>
  </si>
  <si>
    <t>DOE/FEMP Fiscal Year</t>
  </si>
  <si>
    <t>DOE/FEMP</t>
  </si>
  <si>
    <t>DOE Fuel Price Escalation Region</t>
  </si>
  <si>
    <t>(1 through 4, see map below, 5=U.S. average)</t>
  </si>
  <si>
    <t>Analysis Sector</t>
  </si>
  <si>
    <t>(1=Residential; 2=Commercial; 3=Industrial)</t>
  </si>
  <si>
    <t>Second Fuel Type</t>
  </si>
  <si>
    <t>Uniform Electric Price Escalation Rate</t>
  </si>
  <si>
    <t xml:space="preserve">FEMP Fiscal Year: </t>
  </si>
  <si>
    <t xml:space="preserve">DOE Region: </t>
  </si>
  <si>
    <t xml:space="preserve">Analysis Sector: </t>
  </si>
  <si>
    <t>NON-ANNUAL RECURRING COSTS</t>
  </si>
  <si>
    <t>ELECTRIC COSTS</t>
  </si>
  <si>
    <t>ANNUAL</t>
  </si>
  <si>
    <t>TOTAL COSTS</t>
  </si>
  <si>
    <t xml:space="preserve"> </t>
  </si>
  <si>
    <t>RECURRING COSTS</t>
  </si>
  <si>
    <t>COSTS</t>
  </si>
  <si>
    <t>SAVINGS</t>
  </si>
  <si>
    <t>Investment-Related Costs</t>
  </si>
  <si>
    <t>Operations-Related Costs</t>
  </si>
  <si>
    <t>Annual</t>
  </si>
  <si>
    <t>Escalated</t>
  </si>
  <si>
    <t>Discounted</t>
  </si>
  <si>
    <t>(e.g., 1st cost, replacement, residual)</t>
  </si>
  <si>
    <t>(e.g., non-annual maintenance)</t>
  </si>
  <si>
    <t>Recurring</t>
  </si>
  <si>
    <t>Differential</t>
  </si>
  <si>
    <t>only</t>
  </si>
  <si>
    <t>Electric</t>
  </si>
  <si>
    <t>Nat Gas</t>
  </si>
  <si>
    <t xml:space="preserve">Total </t>
  </si>
  <si>
    <t>Description</t>
  </si>
  <si>
    <t>Escalation</t>
  </si>
  <si>
    <t>(no discount)</t>
  </si>
  <si>
    <t>(no fuel esc)</t>
  </si>
  <si>
    <t>w/Fuel Esc.</t>
  </si>
  <si>
    <t>(e.g., maintenance)</t>
  </si>
  <si>
    <t>Year</t>
  </si>
  <si>
    <t>Costs</t>
  </si>
  <si>
    <t>Savings</t>
  </si>
  <si>
    <t>of Cost</t>
  </si>
  <si>
    <t>Constant $</t>
  </si>
  <si>
    <t>PV $</t>
  </si>
  <si>
    <t>%</t>
  </si>
  <si>
    <t>First Cost</t>
  </si>
  <si>
    <t>n/a</t>
  </si>
  <si>
    <t>Overhaul</t>
  </si>
  <si>
    <t>Replace</t>
  </si>
  <si>
    <t>Residual</t>
  </si>
  <si>
    <t>NOTE:</t>
  </si>
  <si>
    <t>Payback</t>
  </si>
  <si>
    <t>yrs</t>
  </si>
  <si>
    <t xml:space="preserve">Life-Cycle Costs Summary </t>
  </si>
  <si>
    <t>Saving</t>
  </si>
  <si>
    <t>Adjusted</t>
  </si>
  <si>
    <t>Internal</t>
  </si>
  <si>
    <t>One-Time Costs</t>
  </si>
  <si>
    <t>Total</t>
  </si>
  <si>
    <t>Net</t>
  </si>
  <si>
    <t>Simple</t>
  </si>
  <si>
    <t>Discnt'd</t>
  </si>
  <si>
    <t>Investment</t>
  </si>
  <si>
    <t>Operations</t>
  </si>
  <si>
    <t>Invest</t>
  </si>
  <si>
    <t>Rate-of-</t>
  </si>
  <si>
    <t>1st year</t>
  </si>
  <si>
    <t>LCC</t>
  </si>
  <si>
    <t>Related</t>
  </si>
  <si>
    <t>Ratio</t>
  </si>
  <si>
    <t xml:space="preserve"> Return</t>
  </si>
  <si>
    <t>Case</t>
  </si>
  <si>
    <t>$</t>
  </si>
  <si>
    <t>NS</t>
  </si>
  <si>
    <t>SIR</t>
  </si>
  <si>
    <t>AIRR</t>
  </si>
  <si>
    <t>Life-Cycle COSTS</t>
  </si>
  <si>
    <t>Base</t>
  </si>
  <si>
    <r>
      <t>Single Present Value Factors (</t>
    </r>
    <r>
      <rPr>
        <b/>
        <i/>
        <sz val="14"/>
        <rFont val="Times New Roman"/>
        <family val="1"/>
      </rPr>
      <t>SPV</t>
    </r>
    <r>
      <rPr>
        <b/>
        <i/>
        <vertAlign val="subscript"/>
        <sz val="14"/>
        <rFont val="Times New Roman"/>
        <family val="1"/>
      </rPr>
      <t>N</t>
    </r>
    <r>
      <rPr>
        <b/>
        <sz val="14"/>
        <rFont val="Times New Roman"/>
        <family val="1"/>
      </rPr>
      <t>)</t>
    </r>
  </si>
  <si>
    <t>used to find the present value of future single amounts</t>
  </si>
  <si>
    <t>Number of</t>
  </si>
  <si>
    <t>OMB Discount Rates</t>
  </si>
  <si>
    <t>Formula:</t>
  </si>
  <si>
    <t>years from</t>
  </si>
  <si>
    <t>Discount Rate</t>
  </si>
  <si>
    <r>
      <t xml:space="preserve">Short term </t>
    </r>
    <r>
      <rPr>
        <vertAlign val="superscript"/>
        <sz val="10"/>
        <rFont val="Arial"/>
        <family val="2"/>
      </rPr>
      <t>1</t>
    </r>
  </si>
  <si>
    <r>
      <t xml:space="preserve">Long Term </t>
    </r>
    <r>
      <rPr>
        <vertAlign val="superscript"/>
        <sz val="10"/>
        <rFont val="Arial"/>
        <family val="2"/>
      </rPr>
      <t>2</t>
    </r>
  </si>
  <si>
    <t>base date</t>
  </si>
  <si>
    <t>where P =</t>
  </si>
  <si>
    <t>present value of a single future cost</t>
  </si>
  <si>
    <t>F =</t>
  </si>
  <si>
    <t>single future cost</t>
  </si>
  <si>
    <t>d =</t>
  </si>
  <si>
    <t>discount rate</t>
  </si>
  <si>
    <t>N =</t>
  </si>
  <si>
    <t>Notes:</t>
  </si>
  <si>
    <t>1 - Short-term discount rate based on OMB discount rate for 7-year study period</t>
  </si>
  <si>
    <t>2 - Long-term discount rate based on OMB discount rate for 30-year study period</t>
  </si>
  <si>
    <t>present value of a series of annually recurring uniform costs</t>
  </si>
  <si>
    <t>A =</t>
  </si>
  <si>
    <t>annually recurring uniform cost</t>
  </si>
  <si>
    <r>
      <t>Uniform Present Value Factors (</t>
    </r>
    <r>
      <rPr>
        <b/>
        <i/>
        <sz val="14"/>
        <rFont val="Times New Roman"/>
        <family val="1"/>
      </rPr>
      <t>UPV</t>
    </r>
    <r>
      <rPr>
        <b/>
        <i/>
        <vertAlign val="subscript"/>
        <sz val="14"/>
        <rFont val="Times New Roman"/>
        <family val="1"/>
      </rPr>
      <t>N</t>
    </r>
    <r>
      <rPr>
        <b/>
        <sz val="14"/>
        <rFont val="Times New Roman"/>
        <family val="1"/>
      </rPr>
      <t>)</t>
    </r>
  </si>
  <si>
    <t>used to find the present value of a series</t>
  </si>
  <si>
    <t>of annually recurring uniform costs</t>
  </si>
  <si>
    <r>
      <t>Modified Uniform Present Value Factors, DOE FUEL (</t>
    </r>
    <r>
      <rPr>
        <b/>
        <i/>
        <sz val="14"/>
        <rFont val="Times New Roman"/>
        <family val="1"/>
      </rPr>
      <t>UPV*</t>
    </r>
    <r>
      <rPr>
        <b/>
        <i/>
        <vertAlign val="subscript"/>
        <sz val="14"/>
        <rFont val="Times New Roman"/>
        <family val="1"/>
      </rPr>
      <t>N</t>
    </r>
    <r>
      <rPr>
        <b/>
        <sz val="14"/>
        <rFont val="Times New Roman"/>
        <family val="1"/>
      </rPr>
      <t>)</t>
    </r>
  </si>
  <si>
    <t>used to find the present value of a series of annual utility costs assuming DOE-projected escalation rates</t>
  </si>
  <si>
    <t>Census Region 1</t>
  </si>
  <si>
    <t>(Connecticut, Maine, Massachusetts, New Hampshire, New Jersey, New York, Pennsylvania, Rhode Island, Vermont)</t>
  </si>
  <si>
    <t>Residential</t>
  </si>
  <si>
    <t>Commercial</t>
  </si>
  <si>
    <t>Industrial</t>
  </si>
  <si>
    <t>N</t>
  </si>
  <si>
    <t>Census Region 2</t>
  </si>
  <si>
    <t>(Illinois, Indiana, Iowa, Kansas, Michigan, Minnesota, Missouri, Nebraska, North Dakota, Ohio, South Dakota, Wisconsin)</t>
  </si>
  <si>
    <t>Census Region 3</t>
  </si>
  <si>
    <t>Census Region 4</t>
  </si>
  <si>
    <t>United States Average</t>
  </si>
  <si>
    <t>The "LCCn" sheets obtain fuel escalation rates from the first table on this sheet.  A complete set of these sheets is found below.</t>
  </si>
  <si>
    <t>The contents of this first sheet are set by user choice of DOE region on the "Basic Data" sheet.</t>
  </si>
  <si>
    <t>RESIDENTIAL</t>
  </si>
  <si>
    <t>COMMERCIAL</t>
  </si>
  <si>
    <t>INDUSTRIAL</t>
  </si>
  <si>
    <t>Dist</t>
  </si>
  <si>
    <t>LPG</t>
  </si>
  <si>
    <t>Resid</t>
  </si>
  <si>
    <t>Coal</t>
  </si>
  <si>
    <t>(Illinois, Indiana, Iowa, Kansas, Michigan, Minnesota, Missouri, Nebraska, ND, Ohio, SD, Wisconsin)</t>
  </si>
  <si>
    <t>(Alaska, ARIZONA, California, Colorado, Hawaii, Idaho, Montana, Nevada, New Mexico, OR, Utah, WA, Wyoming)</t>
  </si>
  <si>
    <r>
      <t>Modified Uniform Present Value Factors, NON-FUEL (</t>
    </r>
    <r>
      <rPr>
        <b/>
        <i/>
        <sz val="14"/>
        <rFont val="Times New Roman"/>
        <family val="1"/>
      </rPr>
      <t>UPV*</t>
    </r>
    <r>
      <rPr>
        <b/>
        <i/>
        <vertAlign val="subscript"/>
        <sz val="14"/>
        <rFont val="Times New Roman"/>
        <family val="1"/>
      </rPr>
      <t>N</t>
    </r>
    <r>
      <rPr>
        <b/>
        <sz val="14"/>
        <rFont val="Times New Roman"/>
        <family val="1"/>
      </rPr>
      <t>)</t>
    </r>
  </si>
  <si>
    <t>used to find the present value of a series of annually recurring uniform costs</t>
  </si>
  <si>
    <t>changing at a constant escalation rate</t>
  </si>
  <si>
    <t>Annual (uniform) rate of price change</t>
  </si>
  <si>
    <r>
      <t>for discount rate (</t>
    </r>
    <r>
      <rPr>
        <i/>
        <sz val="10"/>
        <rFont val="Arial"/>
        <family val="2"/>
      </rPr>
      <t>d</t>
    </r>
    <r>
      <rPr>
        <sz val="10"/>
        <rFont val="Arial"/>
        <family val="2"/>
      </rPr>
      <t xml:space="preserve">) </t>
    </r>
    <r>
      <rPr>
        <sz val="10"/>
        <rFont val="Symbol"/>
        <family val="1"/>
        <charset val="2"/>
      </rPr>
      <t>¹</t>
    </r>
    <r>
      <rPr>
        <sz val="10"/>
        <rFont val="Arial"/>
        <family val="2"/>
      </rPr>
      <t xml:space="preserve"> escalation rate (</t>
    </r>
    <r>
      <rPr>
        <i/>
        <sz val="10"/>
        <rFont val="Arial"/>
        <family val="2"/>
      </rPr>
      <t>e</t>
    </r>
    <r>
      <rPr>
        <sz val="10"/>
        <rFont val="Arial"/>
        <family val="2"/>
      </rPr>
      <t>)</t>
    </r>
  </si>
  <si>
    <r>
      <t>for discount rate (</t>
    </r>
    <r>
      <rPr>
        <i/>
        <sz val="10"/>
        <rFont val="Arial"/>
        <family val="2"/>
      </rPr>
      <t>d</t>
    </r>
    <r>
      <rPr>
        <sz val="10"/>
        <rFont val="Arial"/>
        <family val="2"/>
      </rPr>
      <t xml:space="preserve">) </t>
    </r>
    <r>
      <rPr>
        <sz val="10"/>
        <rFont val="Symbol"/>
        <family val="1"/>
        <charset val="2"/>
      </rPr>
      <t>=</t>
    </r>
    <r>
      <rPr>
        <sz val="10"/>
        <rFont val="Arial"/>
        <family val="2"/>
      </rPr>
      <t xml:space="preserve"> escalation rate (</t>
    </r>
    <r>
      <rPr>
        <i/>
        <sz val="10"/>
        <rFont val="Arial"/>
        <family val="2"/>
      </rPr>
      <t>e</t>
    </r>
    <r>
      <rPr>
        <sz val="10"/>
        <rFont val="Arial"/>
        <family val="2"/>
      </rPr>
      <t>)</t>
    </r>
  </si>
  <si>
    <t>present value of a series of annually recurring, escalating costs</t>
  </si>
  <si>
    <r>
      <t>A</t>
    </r>
    <r>
      <rPr>
        <i/>
        <vertAlign val="subscript"/>
        <sz val="10"/>
        <rFont val="Times New Roman"/>
        <family val="1"/>
      </rPr>
      <t>0</t>
    </r>
    <r>
      <rPr>
        <i/>
        <sz val="10"/>
        <rFont val="Times New Roman"/>
        <family val="1"/>
      </rPr>
      <t xml:space="preserve"> =</t>
    </r>
  </si>
  <si>
    <t>annually recurring cost, at base-date prices</t>
  </si>
  <si>
    <t>e =</t>
  </si>
  <si>
    <t>escalation rate</t>
  </si>
  <si>
    <t>(0=None, 1=N.Gas; 2=LPG, 3=Dist Oil; 4=Resid Oil; 5=Coal)</t>
  </si>
  <si>
    <t>Com</t>
  </si>
  <si>
    <t>Ind</t>
  </si>
  <si>
    <t>(to use DOE escalation rates, which vary by year, leave this entry empty)</t>
  </si>
  <si>
    <t>by M.S. Addison and Associates, Tempe, AZ   marlin.addison@doe2.com</t>
  </si>
  <si>
    <t>IMPORTANT NOTE: This spreadsheet should be updated (replaced) every April, after DOE releases updated energy price escalation factors.</t>
  </si>
  <si>
    <t xml:space="preserve">Glazing Selection Example Analysis </t>
  </si>
  <si>
    <t>`</t>
  </si>
  <si>
    <r>
      <t xml:space="preserve">Visit </t>
    </r>
    <r>
      <rPr>
        <b/>
        <i/>
        <sz val="10"/>
        <color indexed="10"/>
        <rFont val="Arial"/>
        <family val="2"/>
      </rPr>
      <t>http://www.doe2.com</t>
    </r>
    <r>
      <rPr>
        <i/>
        <sz val="10"/>
        <color indexed="10"/>
        <rFont val="Arial"/>
        <family val="2"/>
      </rPr>
      <t xml:space="preserve"> to download the current copy.</t>
    </r>
  </si>
  <si>
    <t>CUMULATIVE</t>
  </si>
  <si>
    <t>Cumulative</t>
  </si>
  <si>
    <t>Maintenance</t>
  </si>
  <si>
    <t>number of years in the future when F occurs</t>
  </si>
  <si>
    <t>(Alabama, Arkansas, Delaware, DC, FL, GA, KY, Louisiana, MD, Mississippi, NC, OK, SC, TN, TX, Virginia, W. Virginia)</t>
  </si>
  <si>
    <t>(Alabama, Arkansas, Deleware, DC, FL, GA, KY, Louisiana, MD, Mississippi, NC, OK, SC, TN, TX, Virginia, W. Virginia)</t>
  </si>
  <si>
    <t>OMB 3-year</t>
  </si>
  <si>
    <t>5-year</t>
  </si>
  <si>
    <t>7-year</t>
  </si>
  <si>
    <t>10-year</t>
  </si>
  <si>
    <t>30-year</t>
  </si>
  <si>
    <t>real</t>
  </si>
  <si>
    <t>nominal*</t>
  </si>
  <si>
    <t xml:space="preserve">  General Inflation Rate</t>
  </si>
  <si>
    <t xml:space="preserve">  Real Discount Rate</t>
  </si>
  <si>
    <t xml:space="preserve">  Nominal Discount Rate</t>
  </si>
  <si>
    <t>Nominal-to-Real:</t>
  </si>
  <si>
    <t>Real-to-Nominal:</t>
  </si>
  <si>
    <t>Convert:</t>
  </si>
  <si>
    <t>Total Utility</t>
  </si>
  <si>
    <t>Analysis Assumptions:</t>
  </si>
  <si>
    <r>
      <t xml:space="preserve">Life-Cycle </t>
    </r>
    <r>
      <rPr>
        <b/>
        <i/>
        <sz val="12"/>
        <color indexed="56"/>
        <rFont val="Arial"/>
        <family val="2"/>
      </rPr>
      <t>SAVINGS</t>
    </r>
    <r>
      <rPr>
        <b/>
        <i/>
        <sz val="12"/>
        <rFont val="Arial"/>
        <family val="2"/>
      </rPr>
      <t xml:space="preserve"> </t>
    </r>
    <r>
      <rPr>
        <b/>
        <i/>
        <sz val="12"/>
        <color indexed="20"/>
        <rFont val="Arial"/>
        <family val="2"/>
      </rPr>
      <t>(negative entries indicate increased costs)</t>
    </r>
  </si>
  <si>
    <t>Undiscounted</t>
  </si>
  <si>
    <t>PV$</t>
  </si>
  <si>
    <t>*  alternative with least life-cycle cost</t>
  </si>
  <si>
    <t>** alternative with most rapid simple payback</t>
  </si>
  <si>
    <t>LCC Choice</t>
  </si>
  <si>
    <t>SP Choice</t>
  </si>
  <si>
    <t>** Simple Payback choice</t>
  </si>
  <si>
    <t>*  LCC Choice</t>
  </si>
  <si>
    <t>summations:</t>
  </si>
  <si>
    <t>Utility</t>
  </si>
  <si>
    <t>Undisc LCC</t>
  </si>
  <si>
    <t>integer month=</t>
  </si>
  <si>
    <t>Elec</t>
  </si>
  <si>
    <t>Date</t>
  </si>
  <si>
    <t>Year #</t>
  </si>
  <si>
    <t>#</t>
  </si>
  <si>
    <t>(Alaska, Arizona, California, Colorado, Hawaii, Idaho, Montana, Nevada, New Mexico, Oregon, Utah, Washington, Wyoming)</t>
  </si>
  <si>
    <t>Analysis Month/Year:</t>
  </si>
  <si>
    <t>Service</t>
  </si>
  <si>
    <t>Analysis</t>
  </si>
  <si>
    <t>Years of Project Service:</t>
  </si>
  <si>
    <t>Years in Analysis Period:</t>
  </si>
  <si>
    <t>Yrs before "On-Line":</t>
  </si>
  <si>
    <t># of Years before Project Occupancy or Opration</t>
  </si>
  <si>
    <t>Occ/Use</t>
  </si>
  <si>
    <t>Multiplier</t>
  </si>
  <si>
    <t>Real</t>
  </si>
  <si>
    <t>Nominal</t>
  </si>
  <si>
    <t>You may wish to hide/unhide columns J, K &amp; L and P, Q &amp; R</t>
  </si>
  <si>
    <t>Study Period (years covered by the LCC analysis)</t>
  </si>
  <si>
    <t>Service Period (number of project service years)</t>
  </si>
  <si>
    <t>Base Year (year analysis performed)</t>
  </si>
  <si>
    <t>Project Service Year (year project comes "On-Line")</t>
  </si>
  <si>
    <t>rates here. MUST be REAL</t>
  </si>
  <si>
    <t>Enter custom escalation</t>
  </si>
  <si>
    <t>Permission is hereby granted, free of charge, to any person or organization obtaining a copy of</t>
  </si>
  <si>
    <t>this LCC spreadsheet tool and accompanying documentation covered by this license (the "LCC</t>
  </si>
  <si>
    <t>spreadsheet") to use, reproduce, display, distribute, execute, and transmit the LCC spreadsheet,</t>
  </si>
  <si>
    <t>and to prepare derivative works of the LCC spreadsheet, and to permit third-parties to whom the</t>
  </si>
  <si>
    <t>LCC spreadsheet is furnished to do so, all subject to the following:</t>
  </si>
  <si>
    <t>The copyright notices in the LCC spreadsheet and this entire statement, including the above</t>
  </si>
  <si>
    <t>license grant, this restriction and the following disclaimer, must be included in all copies of the</t>
  </si>
  <si>
    <t>LCC spreadsheet, in whole or in part, and all derivative works of the LCC spreadsheet.</t>
  </si>
  <si>
    <t>THE LCC SPREADSHEET IS PROVIDED "AS IS", WITHOUT WARRANTY OF ANY KIND,</t>
  </si>
  <si>
    <t>EXPRESS OR IMPLIED, INCLUDING BUT NOT LIMITED TO THE WARRANTIES OF</t>
  </si>
  <si>
    <t>MERCHANTABILITY, FITNESS FOR A PARTICULAR PURPOSE, TITLE AND NON-</t>
  </si>
  <si>
    <t>INFRINGEMENT. IN NO EVENT SHALL THE COPYRIGHT HOLDERS OR ANYONE</t>
  </si>
  <si>
    <t>DISTRIBUTING THE LCC SPREADSHEET BE LIABLE FOR ANY DAMAGES OR OTHER</t>
  </si>
  <si>
    <t>LIABILITY, WHETHER IN CONTRACT, TORT OR OTHERWISE, ARISING FROM, OUT OF OR</t>
  </si>
  <si>
    <t>IN CONNECTION WITH THE LCC SPREADSHEET OR THE USE OR OTHER DEALINGS IN</t>
  </si>
  <si>
    <t>THE LCC SPREADSHEET.</t>
  </si>
  <si>
    <t>Do not alter these values (used in graph):</t>
  </si>
  <si>
    <t>HINT:</t>
  </si>
  <si>
    <t>LCC choice vs Simple Payback choice</t>
  </si>
  <si>
    <t>20-year</t>
  </si>
  <si>
    <t>Base Case Glazing</t>
  </si>
  <si>
    <t>Single Clear</t>
  </si>
  <si>
    <t>Alt 1</t>
  </si>
  <si>
    <t>Single Pane Azurlite</t>
  </si>
  <si>
    <t>Alt 2</t>
  </si>
  <si>
    <t>Calif Series - Water White Crystal</t>
  </si>
  <si>
    <t>Alt 3</t>
  </si>
  <si>
    <t>Calif Series - Sea Foam Low-E Clear</t>
  </si>
  <si>
    <t>Alt 4</t>
  </si>
  <si>
    <t>Calif Series - Tahoe Blue</t>
  </si>
  <si>
    <t>Alt 5</t>
  </si>
  <si>
    <t>Viracon - VE1-55 - Low-E Clear</t>
  </si>
  <si>
    <t>Alt 6</t>
  </si>
  <si>
    <t>Viracon - VE1-85 - Low-E Clear</t>
  </si>
  <si>
    <t>Alt 7</t>
  </si>
  <si>
    <t>Viracon - VE7-55 - Low-E Azurlite</t>
  </si>
  <si>
    <t>Alt 8</t>
  </si>
  <si>
    <t>Viracon - VE7-85 - Low-E Azurlite</t>
  </si>
  <si>
    <t>Alt 9</t>
  </si>
  <si>
    <t>PPG - SolarBan 2000</t>
  </si>
  <si>
    <t>LCC Spreadsheet is © Copyright 2015 Marlin S. Addison</t>
  </si>
  <si>
    <t>DOE-PROJECTED FUEL PRICE ESCALATION (2015 Projections)</t>
  </si>
  <si>
    <t>DOE-PROJECTED FUEL PRICE INDICIES (2015 Projections)</t>
  </si>
  <si>
    <t>(Alaska, Arizona, California, Colorado, Hawaii, Idaho, Montana, Nevada, New Mexico, OR, Utah, WA, Wyoming)</t>
  </si>
  <si>
    <r>
      <t>Real</t>
    </r>
    <r>
      <rPr>
        <sz val="12"/>
        <rFont val="Arial"/>
        <family val="2"/>
      </rPr>
      <t xml:space="preserve"> Discount Rate for Capital Costs (i.e., equipment)</t>
    </r>
  </si>
  <si>
    <r>
      <t>Real</t>
    </r>
    <r>
      <rPr>
        <sz val="12"/>
        <rFont val="Arial"/>
        <family val="2"/>
      </rPr>
      <t xml:space="preserve"> Discount Rate for Operations Costs (i.e., energy, labor)</t>
    </r>
  </si>
  <si>
    <t xml:space="preserve">Cap. Disc. Rate: </t>
  </si>
  <si>
    <t xml:space="preserve">Ops. Disc. Rate: </t>
  </si>
  <si>
    <t>non-annual recurring costs</t>
  </si>
  <si>
    <t>Hint:</t>
  </si>
  <si>
    <t>to eliminate unused cases, hide unused rows on the 'Results Summary' worksheet.</t>
  </si>
  <si>
    <t>Hide any unused rows (in both the COSTS and SAVINGS portion of the table). This will also automatically hide the corresponding line from the graph and the "Graph" worksheet..</t>
  </si>
  <si>
    <t>updated: April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</si>
</sst>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6" formatCode="&quot;$&quot;#,##0_);[Red]\(&quot;$&quot;#,##0\)"/>
    <numFmt numFmtId="7" formatCode="&quot;$&quot;#,##0.00_);\(&quot;$&quot;#,##0.00\)"/>
    <numFmt numFmtId="44" formatCode="_(&quot;$&quot;* #,##0.00_);_(&quot;$&quot;* \(#,##0.00\);_(&quot;$&quot;* &quot;-&quot;??_);_(@_)"/>
    <numFmt numFmtId="164" formatCode="0.0%"/>
    <numFmt numFmtId="165" formatCode="0.0"/>
    <numFmt numFmtId="166" formatCode="0.0000"/>
    <numFmt numFmtId="167" formatCode="0.000"/>
    <numFmt numFmtId="168" formatCode="#,##0.0_);\(#,##0.0\)"/>
    <numFmt numFmtId="169" formatCode="&quot;$&quot;#,##0"/>
    <numFmt numFmtId="170" formatCode="0.0000%"/>
    <numFmt numFmtId="171" formatCode="&quot;$&quot;#,##0.0000_);\(&quot;$&quot;#,##0.0000\)"/>
  </numFmts>
  <fonts count="75" x14ac:knownFonts="1">
    <font>
      <sz val="10"/>
      <name val="Arial"/>
    </font>
    <font>
      <b/>
      <sz val="10"/>
      <name val="Arial"/>
      <family val="2"/>
    </font>
    <font>
      <i/>
      <sz val="10"/>
      <name val="Arial"/>
      <family val="2"/>
    </font>
    <font>
      <b/>
      <i/>
      <sz val="10"/>
      <name val="Arial"/>
      <family val="2"/>
    </font>
    <font>
      <sz val="10"/>
      <name val="Arial"/>
      <family val="2"/>
    </font>
    <font>
      <b/>
      <sz val="10"/>
      <name val="Arial"/>
      <family val="2"/>
    </font>
    <font>
      <i/>
      <sz val="10"/>
      <name val="Times New Roman"/>
      <family val="1"/>
    </font>
    <font>
      <i/>
      <vertAlign val="subscript"/>
      <sz val="10"/>
      <name val="Times New Roman"/>
      <family val="1"/>
    </font>
    <font>
      <i/>
      <sz val="12"/>
      <name val="Times New Roman"/>
      <family val="1"/>
    </font>
    <font>
      <vertAlign val="superscript"/>
      <sz val="10"/>
      <name val="Arial"/>
      <family val="2"/>
    </font>
    <font>
      <i/>
      <sz val="12"/>
      <name val="Times New Roman"/>
      <family val="1"/>
    </font>
    <font>
      <sz val="10"/>
      <name val="Symbol"/>
      <family val="1"/>
      <charset val="2"/>
    </font>
    <font>
      <i/>
      <sz val="8"/>
      <name val="Arial"/>
      <family val="2"/>
    </font>
    <font>
      <b/>
      <sz val="14"/>
      <name val="Times New Roman"/>
      <family val="1"/>
    </font>
    <font>
      <b/>
      <i/>
      <sz val="14"/>
      <name val="Times New Roman"/>
      <family val="1"/>
    </font>
    <font>
      <b/>
      <i/>
      <vertAlign val="subscript"/>
      <sz val="14"/>
      <name val="Times New Roman"/>
      <family val="1"/>
    </font>
    <font>
      <i/>
      <sz val="14"/>
      <name val="Times New Roman"/>
      <family val="1"/>
    </font>
    <font>
      <b/>
      <sz val="14"/>
      <name val="Times New Roman"/>
      <family val="1"/>
    </font>
    <font>
      <sz val="14"/>
      <name val="Arial"/>
      <family val="2"/>
    </font>
    <font>
      <i/>
      <sz val="14"/>
      <name val="Times New Roman"/>
      <family val="1"/>
    </font>
    <font>
      <i/>
      <sz val="8"/>
      <name val="Arial"/>
      <family val="2"/>
    </font>
    <font>
      <sz val="12"/>
      <name val="Arial"/>
      <family val="2"/>
    </font>
    <font>
      <i/>
      <sz val="12"/>
      <name val="Arial"/>
      <family val="2"/>
    </font>
    <font>
      <b/>
      <sz val="12"/>
      <name val="Arial"/>
      <family val="2"/>
    </font>
    <font>
      <b/>
      <i/>
      <sz val="12"/>
      <name val="Arial"/>
      <family val="2"/>
    </font>
    <font>
      <b/>
      <i/>
      <sz val="12"/>
      <name val="Arial"/>
      <family val="2"/>
    </font>
    <font>
      <b/>
      <i/>
      <sz val="14"/>
      <name val="Arial"/>
      <family val="2"/>
    </font>
    <font>
      <b/>
      <i/>
      <sz val="12"/>
      <color indexed="12"/>
      <name val="Arial"/>
      <family val="2"/>
    </font>
    <font>
      <sz val="10"/>
      <color indexed="8"/>
      <name val="Arial"/>
      <family val="2"/>
    </font>
    <font>
      <sz val="10"/>
      <color indexed="12"/>
      <name val="Arial"/>
      <family val="2"/>
    </font>
    <font>
      <i/>
      <sz val="12"/>
      <name val="Arial"/>
      <family val="2"/>
    </font>
    <font>
      <sz val="12"/>
      <name val="Arial"/>
      <family val="2"/>
    </font>
    <font>
      <b/>
      <sz val="12"/>
      <color indexed="12"/>
      <name val="Arial"/>
      <family val="2"/>
    </font>
    <font>
      <sz val="12"/>
      <color indexed="12"/>
      <name val="Arial"/>
      <family val="2"/>
    </font>
    <font>
      <sz val="10"/>
      <color indexed="25"/>
      <name val="Arial"/>
      <family val="2"/>
    </font>
    <font>
      <b/>
      <sz val="12"/>
      <color indexed="25"/>
      <name val="Arial"/>
      <family val="2"/>
    </font>
    <font>
      <b/>
      <sz val="10"/>
      <color indexed="25"/>
      <name val="Arial"/>
      <family val="2"/>
    </font>
    <font>
      <b/>
      <i/>
      <sz val="10"/>
      <color indexed="12"/>
      <name val="Arial"/>
      <family val="2"/>
    </font>
    <font>
      <b/>
      <i/>
      <sz val="12"/>
      <color indexed="10"/>
      <name val="Arial"/>
      <family val="2"/>
    </font>
    <font>
      <b/>
      <sz val="14"/>
      <name val="Arial"/>
      <family val="2"/>
    </font>
    <font>
      <sz val="8"/>
      <color indexed="81"/>
      <name val="Tahoma"/>
      <family val="2"/>
    </font>
    <font>
      <b/>
      <sz val="12"/>
      <color indexed="56"/>
      <name val="Arial"/>
      <family val="2"/>
    </font>
    <font>
      <sz val="10"/>
      <color indexed="56"/>
      <name val="Arial"/>
      <family val="2"/>
    </font>
    <font>
      <b/>
      <sz val="10"/>
      <color indexed="56"/>
      <name val="Arial"/>
      <family val="2"/>
    </font>
    <font>
      <b/>
      <i/>
      <sz val="10"/>
      <color indexed="12"/>
      <name val="Arial"/>
      <family val="2"/>
    </font>
    <font>
      <sz val="10"/>
      <color indexed="12"/>
      <name val="Arial"/>
      <family val="2"/>
    </font>
    <font>
      <i/>
      <sz val="10"/>
      <name val="Arial"/>
      <family val="2"/>
    </font>
    <font>
      <sz val="10"/>
      <name val="Arial"/>
      <family val="2"/>
    </font>
    <font>
      <sz val="10"/>
      <color indexed="29"/>
      <name val="Arial"/>
      <family val="2"/>
    </font>
    <font>
      <sz val="10"/>
      <color indexed="81"/>
      <name val="Tahoma"/>
      <family val="2"/>
    </font>
    <font>
      <i/>
      <sz val="10"/>
      <color indexed="10"/>
      <name val="Arial"/>
      <family val="2"/>
    </font>
    <font>
      <b/>
      <i/>
      <sz val="10"/>
      <color indexed="10"/>
      <name val="Arial"/>
      <family val="2"/>
    </font>
    <font>
      <b/>
      <sz val="12"/>
      <color indexed="10"/>
      <name val="Arial"/>
      <family val="2"/>
    </font>
    <font>
      <b/>
      <i/>
      <u/>
      <sz val="12"/>
      <name val="Arial"/>
      <family val="2"/>
    </font>
    <font>
      <i/>
      <sz val="14"/>
      <color indexed="10"/>
      <name val="Arial"/>
      <family val="2"/>
    </font>
    <font>
      <b/>
      <i/>
      <sz val="12"/>
      <color indexed="56"/>
      <name val="Arial"/>
      <family val="2"/>
    </font>
    <font>
      <b/>
      <i/>
      <sz val="12"/>
      <color indexed="20"/>
      <name val="Arial"/>
      <family val="2"/>
    </font>
    <font>
      <sz val="10"/>
      <color indexed="55"/>
      <name val="Arial"/>
      <family val="2"/>
    </font>
    <font>
      <sz val="12"/>
      <color indexed="9"/>
      <name val="Arial"/>
      <family val="2"/>
    </font>
    <font>
      <b/>
      <sz val="10"/>
      <color indexed="29"/>
      <name val="Arial"/>
      <family val="2"/>
    </font>
    <font>
      <sz val="10"/>
      <color indexed="29"/>
      <name val="Arial"/>
      <family val="2"/>
    </font>
    <font>
      <sz val="10"/>
      <color indexed="22"/>
      <name val="Arial"/>
      <family val="2"/>
    </font>
    <font>
      <b/>
      <i/>
      <sz val="10"/>
      <name val="Arial"/>
      <family val="2"/>
    </font>
    <font>
      <sz val="12"/>
      <color indexed="63"/>
      <name val="Arial"/>
      <family val="2"/>
    </font>
    <font>
      <sz val="12"/>
      <color indexed="63"/>
      <name val="Arial"/>
      <family val="2"/>
    </font>
    <font>
      <b/>
      <sz val="12"/>
      <color indexed="63"/>
      <name val="Arial"/>
      <family val="2"/>
    </font>
    <font>
      <sz val="12"/>
      <color indexed="12"/>
      <name val="Arial"/>
      <family val="2"/>
    </font>
    <font>
      <sz val="10"/>
      <color indexed="10"/>
      <name val="Arial"/>
      <family val="2"/>
    </font>
    <font>
      <b/>
      <sz val="10"/>
      <color indexed="10"/>
      <name val="Arial"/>
      <family val="2"/>
    </font>
    <font>
      <sz val="8"/>
      <name val="Arial"/>
      <family val="2"/>
    </font>
    <font>
      <sz val="10"/>
      <color indexed="47"/>
      <name val="Arial"/>
      <family val="2"/>
    </font>
    <font>
      <i/>
      <sz val="10"/>
      <color indexed="23"/>
      <name val="Arial"/>
      <family val="2"/>
    </font>
    <font>
      <sz val="10"/>
      <color indexed="10"/>
      <name val="Arial"/>
      <family val="2"/>
    </font>
    <font>
      <b/>
      <sz val="10"/>
      <color rgb="FFFF0000"/>
      <name val="Arial"/>
      <family val="2"/>
    </font>
    <font>
      <i/>
      <sz val="10"/>
      <color rgb="FFFF0000"/>
      <name val="Arial"/>
      <family val="2"/>
    </font>
  </fonts>
  <fills count="2">
    <fill>
      <patternFill patternType="none"/>
    </fill>
    <fill>
      <patternFill patternType="gray125"/>
    </fill>
  </fills>
  <borders count="48">
    <border>
      <left/>
      <right/>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top/>
      <bottom style="thin">
        <color indexed="12"/>
      </bottom>
      <diagonal/>
    </border>
    <border>
      <left/>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double">
        <color indexed="64"/>
      </bottom>
      <diagonal/>
    </border>
    <border>
      <left/>
      <right/>
      <top/>
      <bottom style="double">
        <color indexed="64"/>
      </bottom>
      <diagonal/>
    </border>
    <border>
      <left/>
      <right style="thick">
        <color indexed="64"/>
      </right>
      <top/>
      <bottom style="double">
        <color indexed="64"/>
      </bottom>
      <diagonal/>
    </border>
    <border>
      <left style="thick">
        <color indexed="64"/>
      </left>
      <right style="thin">
        <color indexed="64"/>
      </right>
      <top style="double">
        <color indexed="64"/>
      </top>
      <bottom/>
      <diagonal/>
    </border>
    <border>
      <left/>
      <right/>
      <top style="double">
        <color indexed="64"/>
      </top>
      <bottom/>
      <diagonal/>
    </border>
    <border>
      <left style="thick">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ck">
        <color indexed="64"/>
      </right>
      <top style="thin">
        <color indexed="64"/>
      </top>
      <bottom/>
      <diagonal/>
    </border>
    <border>
      <left/>
      <right style="thin">
        <color indexed="64"/>
      </right>
      <top/>
      <bottom/>
      <diagonal/>
    </border>
    <border>
      <left style="thick">
        <color indexed="64"/>
      </left>
      <right style="thin">
        <color indexed="64"/>
      </right>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style="thick">
        <color indexed="64"/>
      </left>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medium">
        <color indexed="64"/>
      </bottom>
      <diagonal/>
    </border>
    <border>
      <left style="thick">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right style="thin">
        <color indexed="64"/>
      </right>
      <top/>
      <bottom style="medium">
        <color indexed="64"/>
      </bottom>
      <diagonal/>
    </border>
    <border>
      <left/>
      <right style="thick">
        <color indexed="64"/>
      </right>
      <top/>
      <bottom style="medium">
        <color indexed="64"/>
      </bottom>
      <diagonal/>
    </border>
    <border>
      <left style="medium">
        <color indexed="10"/>
      </left>
      <right/>
      <top style="medium">
        <color indexed="10"/>
      </top>
      <bottom/>
      <diagonal/>
    </border>
    <border>
      <left/>
      <right style="medium">
        <color indexed="10"/>
      </right>
      <top style="medium">
        <color indexed="10"/>
      </top>
      <bottom/>
      <diagonal/>
    </border>
    <border>
      <left style="medium">
        <color indexed="10"/>
      </left>
      <right/>
      <top/>
      <bottom/>
      <diagonal/>
    </border>
    <border>
      <left/>
      <right style="medium">
        <color indexed="10"/>
      </right>
      <top/>
      <bottom/>
      <diagonal/>
    </border>
    <border>
      <left style="medium">
        <color indexed="10"/>
      </left>
      <right/>
      <top/>
      <bottom style="medium">
        <color indexed="10"/>
      </bottom>
      <diagonal/>
    </border>
    <border>
      <left/>
      <right style="medium">
        <color indexed="10"/>
      </right>
      <top/>
      <bottom style="medium">
        <color indexed="10"/>
      </bottom>
      <diagonal/>
    </border>
    <border>
      <left/>
      <right/>
      <top/>
      <bottom style="medium">
        <color indexed="10"/>
      </bottom>
      <diagonal/>
    </border>
    <border>
      <left style="thin">
        <color indexed="22"/>
      </left>
      <right/>
      <top style="thin">
        <color indexed="22"/>
      </top>
      <bottom/>
      <diagonal/>
    </border>
    <border>
      <left/>
      <right/>
      <top style="thin">
        <color indexed="22"/>
      </top>
      <bottom/>
      <diagonal/>
    </border>
    <border>
      <left/>
      <right style="thin">
        <color indexed="22"/>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354">
    <xf numFmtId="0" fontId="0" fillId="0" borderId="0" xfId="0"/>
    <xf numFmtId="0" fontId="0" fillId="0" borderId="0" xfId="0" applyAlignment="1">
      <alignment horizontal="center"/>
    </xf>
    <xf numFmtId="10" fontId="0" fillId="0" borderId="0" xfId="0" applyNumberFormat="1"/>
    <xf numFmtId="164" fontId="1" fillId="0" borderId="0" xfId="2" applyNumberFormat="1" applyFont="1" applyAlignment="1">
      <alignment horizontal="center"/>
    </xf>
    <xf numFmtId="0" fontId="0" fillId="0" borderId="0" xfId="0" applyAlignment="1">
      <alignment horizontal="centerContinuous"/>
    </xf>
    <xf numFmtId="0" fontId="0" fillId="0" borderId="0" xfId="0" applyAlignment="1">
      <alignment horizontal="right"/>
    </xf>
    <xf numFmtId="0" fontId="0" fillId="0" borderId="0" xfId="0" applyAlignment="1">
      <alignment horizontal="left"/>
    </xf>
    <xf numFmtId="0" fontId="8" fillId="0" borderId="0" xfId="0" applyFont="1" applyAlignment="1">
      <alignment horizontal="centerContinuous"/>
    </xf>
    <xf numFmtId="0" fontId="10" fillId="0" borderId="0" xfId="0" applyFont="1" applyAlignment="1">
      <alignment horizontal="centerContinuous"/>
    </xf>
    <xf numFmtId="0" fontId="6" fillId="0" borderId="0" xfId="0" applyFont="1"/>
    <xf numFmtId="0" fontId="6" fillId="0" borderId="0" xfId="0" applyFont="1" applyAlignment="1">
      <alignment horizontal="right"/>
    </xf>
    <xf numFmtId="9" fontId="0" fillId="0" borderId="0" xfId="2" applyFont="1" applyAlignment="1">
      <alignment horizontal="center"/>
    </xf>
    <xf numFmtId="0" fontId="0" fillId="0" borderId="0" xfId="0" applyAlignment="1"/>
    <xf numFmtId="0" fontId="8" fillId="0" borderId="0" xfId="0" applyFont="1" applyAlignment="1"/>
    <xf numFmtId="0" fontId="0" fillId="0" borderId="1" xfId="0" applyBorder="1" applyAlignment="1">
      <alignment horizontal="center"/>
    </xf>
    <xf numFmtId="2" fontId="0" fillId="0" borderId="1" xfId="0" applyNumberFormat="1" applyBorder="1" applyAlignment="1">
      <alignment horizontal="center"/>
    </xf>
    <xf numFmtId="2" fontId="12" fillId="0" borderId="1" xfId="0" applyNumberFormat="1" applyFont="1" applyBorder="1" applyAlignment="1">
      <alignment horizontal="center"/>
    </xf>
    <xf numFmtId="0" fontId="13" fillId="0" borderId="0" xfId="0" applyFont="1" applyAlignment="1">
      <alignment horizontal="centerContinuous"/>
    </xf>
    <xf numFmtId="0" fontId="16" fillId="0" borderId="0" xfId="0" applyFont="1" applyAlignment="1">
      <alignment horizontal="centerContinuous"/>
    </xf>
    <xf numFmtId="0" fontId="17" fillId="0" borderId="0" xfId="0" applyFont="1" applyAlignment="1">
      <alignment horizontal="centerContinuous"/>
    </xf>
    <xf numFmtId="0" fontId="18" fillId="0" borderId="0" xfId="0" applyFont="1" applyAlignment="1">
      <alignment horizontal="centerContinuous"/>
    </xf>
    <xf numFmtId="0" fontId="18" fillId="0" borderId="0" xfId="0" applyFont="1" applyAlignment="1">
      <alignment horizontal="center"/>
    </xf>
    <xf numFmtId="0" fontId="18" fillId="0" borderId="0" xfId="0" applyFont="1"/>
    <xf numFmtId="0" fontId="19" fillId="0" borderId="0" xfId="0" applyFont="1" applyAlignment="1">
      <alignment horizontal="centerContinuous"/>
    </xf>
    <xf numFmtId="0" fontId="16" fillId="0" borderId="0" xfId="0" applyFont="1" applyAlignment="1"/>
    <xf numFmtId="0" fontId="1" fillId="0" borderId="0" xfId="0" applyFont="1" applyAlignment="1">
      <alignment horizontal="centerContinuous"/>
    </xf>
    <xf numFmtId="0" fontId="0" fillId="0" borderId="0" xfId="0" applyNumberFormat="1" applyAlignment="1">
      <alignment horizontal="centerContinuous"/>
    </xf>
    <xf numFmtId="0" fontId="0" fillId="0" borderId="0" xfId="0" applyNumberFormat="1" applyAlignment="1">
      <alignment horizontal="center"/>
    </xf>
    <xf numFmtId="0" fontId="19" fillId="0" borderId="0" xfId="0" applyFont="1" applyAlignment="1">
      <alignment horizontal="right"/>
    </xf>
    <xf numFmtId="0" fontId="1" fillId="0" borderId="0" xfId="0" applyNumberFormat="1" applyFont="1" applyAlignment="1">
      <alignment horizontal="centerContinuous"/>
    </xf>
    <xf numFmtId="0" fontId="23" fillId="0" borderId="0" xfId="0" applyFont="1" applyAlignment="1">
      <alignment horizontal="left"/>
    </xf>
    <xf numFmtId="0" fontId="23" fillId="0" borderId="0" xfId="0" applyFont="1" applyAlignment="1">
      <alignment horizontal="centerContinuous"/>
    </xf>
    <xf numFmtId="0" fontId="4" fillId="0" borderId="0" xfId="0" applyNumberFormat="1" applyFont="1" applyAlignment="1">
      <alignment horizontal="center"/>
    </xf>
    <xf numFmtId="0" fontId="0" fillId="0" borderId="0" xfId="0" applyBorder="1" applyAlignment="1">
      <alignment horizontal="center"/>
    </xf>
    <xf numFmtId="0" fontId="13" fillId="0" borderId="0" xfId="0" applyFont="1" applyBorder="1" applyAlignment="1">
      <alignment horizontal="centerContinuous"/>
    </xf>
    <xf numFmtId="0" fontId="16" fillId="0" borderId="0" xfId="0" applyFont="1" applyBorder="1" applyAlignment="1">
      <alignment horizontal="centerContinuous"/>
    </xf>
    <xf numFmtId="164" fontId="22" fillId="0" borderId="0" xfId="2" applyNumberFormat="1" applyFont="1" applyAlignment="1"/>
    <xf numFmtId="0" fontId="21" fillId="0" borderId="0" xfId="0" applyFont="1" applyAlignment="1">
      <alignment horizontal="centerContinuous"/>
    </xf>
    <xf numFmtId="10" fontId="0" fillId="0" borderId="1" xfId="2" applyNumberFormat="1" applyFont="1" applyBorder="1" applyAlignment="1">
      <alignment horizontal="center"/>
    </xf>
    <xf numFmtId="164" fontId="24" fillId="0" borderId="0" xfId="2" applyNumberFormat="1" applyFont="1" applyAlignment="1"/>
    <xf numFmtId="164" fontId="25" fillId="0" borderId="0" xfId="2" applyNumberFormat="1" applyFont="1" applyAlignment="1">
      <alignment horizontal="center"/>
    </xf>
    <xf numFmtId="0" fontId="34" fillId="0" borderId="0" xfId="0" applyFont="1" applyAlignment="1">
      <alignment horizontal="centerContinuous"/>
    </xf>
    <xf numFmtId="0" fontId="35" fillId="0" borderId="0" xfId="0" applyFont="1" applyAlignment="1">
      <alignment horizontal="centerContinuous"/>
    </xf>
    <xf numFmtId="0" fontId="35" fillId="0" borderId="0" xfId="0" applyFont="1" applyAlignment="1">
      <alignment horizontal="left"/>
    </xf>
    <xf numFmtId="0" fontId="34" fillId="0" borderId="0" xfId="0" applyFont="1"/>
    <xf numFmtId="0" fontId="34" fillId="0" borderId="0" xfId="0" applyFont="1" applyAlignment="1">
      <alignment horizontal="center"/>
    </xf>
    <xf numFmtId="0" fontId="36" fillId="0" borderId="0" xfId="0" applyFont="1" applyAlignment="1">
      <alignment horizontal="centerContinuous"/>
    </xf>
    <xf numFmtId="10" fontId="34" fillId="0" borderId="1" xfId="2" applyNumberFormat="1" applyFont="1" applyBorder="1" applyAlignment="1">
      <alignment horizontal="center"/>
    </xf>
    <xf numFmtId="167" fontId="0" fillId="0" borderId="1" xfId="0" applyNumberFormat="1" applyBorder="1" applyAlignment="1">
      <alignment horizontal="center"/>
    </xf>
    <xf numFmtId="167" fontId="20" fillId="0" borderId="1" xfId="0" applyNumberFormat="1" applyFont="1" applyBorder="1" applyAlignment="1">
      <alignment horizontal="center"/>
    </xf>
    <xf numFmtId="5" fontId="29" fillId="0" borderId="2" xfId="0" applyNumberFormat="1" applyFont="1" applyFill="1" applyBorder="1" applyAlignment="1" applyProtection="1">
      <alignment horizontal="center"/>
      <protection locked="0"/>
    </xf>
    <xf numFmtId="5" fontId="29" fillId="0" borderId="0" xfId="0" applyNumberFormat="1" applyFont="1" applyFill="1" applyBorder="1" applyAlignment="1" applyProtection="1">
      <alignment horizontal="center"/>
      <protection locked="0"/>
    </xf>
    <xf numFmtId="5" fontId="29" fillId="0" borderId="2" xfId="1" applyNumberFormat="1" applyFont="1" applyFill="1" applyBorder="1" applyAlignment="1" applyProtection="1">
      <alignment horizontal="center"/>
      <protection locked="0"/>
    </xf>
    <xf numFmtId="5" fontId="29" fillId="0" borderId="2" xfId="0" applyNumberFormat="1" applyFont="1" applyBorder="1" applyAlignment="1" applyProtection="1">
      <alignment horizontal="center"/>
      <protection locked="0"/>
    </xf>
    <xf numFmtId="0" fontId="32" fillId="0" borderId="0" xfId="0" applyFont="1" applyAlignment="1" applyProtection="1">
      <alignment horizontal="center"/>
      <protection locked="0"/>
    </xf>
    <xf numFmtId="164" fontId="32" fillId="0" borderId="0" xfId="2" applyNumberFormat="1" applyFont="1" applyAlignment="1" applyProtection="1">
      <alignment horizontal="center"/>
      <protection locked="0"/>
    </xf>
    <xf numFmtId="5" fontId="29" fillId="0" borderId="0" xfId="0" applyNumberFormat="1" applyFont="1" applyFill="1" applyAlignment="1" applyProtection="1">
      <alignment horizontal="center"/>
      <protection locked="0"/>
    </xf>
    <xf numFmtId="0" fontId="38" fillId="0" borderId="0" xfId="0" applyFont="1" applyAlignment="1">
      <alignment horizontal="centerContinuous"/>
    </xf>
    <xf numFmtId="0" fontId="41" fillId="0" borderId="0" xfId="0" applyFont="1" applyAlignment="1">
      <alignment horizontal="centerContinuous"/>
    </xf>
    <xf numFmtId="0" fontId="42" fillId="0" borderId="0" xfId="0" applyFont="1" applyAlignment="1">
      <alignment horizontal="centerContinuous"/>
    </xf>
    <xf numFmtId="0" fontId="41" fillId="0" borderId="0" xfId="0" applyFont="1" applyAlignment="1">
      <alignment horizontal="left"/>
    </xf>
    <xf numFmtId="0" fontId="42" fillId="0" borderId="0" xfId="0" applyFont="1"/>
    <xf numFmtId="0" fontId="42" fillId="0" borderId="0" xfId="0" applyFont="1" applyAlignment="1">
      <alignment horizontal="center"/>
    </xf>
    <xf numFmtId="0" fontId="43" fillId="0" borderId="0" xfId="0" applyFont="1" applyAlignment="1">
      <alignment horizontal="centerContinuous"/>
    </xf>
    <xf numFmtId="2" fontId="42" fillId="0" borderId="1" xfId="0" applyNumberFormat="1" applyFont="1" applyBorder="1" applyAlignment="1">
      <alignment horizontal="center"/>
    </xf>
    <xf numFmtId="2" fontId="42" fillId="0" borderId="0" xfId="0" applyNumberFormat="1" applyFont="1" applyBorder="1" applyAlignment="1">
      <alignment horizontal="center"/>
    </xf>
    <xf numFmtId="164" fontId="31" fillId="0" borderId="0" xfId="2" applyNumberFormat="1" applyFont="1" applyAlignment="1" applyProtection="1">
      <alignment horizontal="center"/>
    </xf>
    <xf numFmtId="164" fontId="33" fillId="0" borderId="0" xfId="2" applyNumberFormat="1" applyFont="1" applyAlignment="1" applyProtection="1">
      <alignment horizontal="center"/>
      <protection locked="0"/>
    </xf>
    <xf numFmtId="10" fontId="32" fillId="0" borderId="3" xfId="0" applyNumberFormat="1" applyFont="1" applyBorder="1" applyAlignment="1" applyProtection="1">
      <alignment horizontal="center"/>
      <protection locked="0"/>
    </xf>
    <xf numFmtId="0" fontId="32" fillId="0" borderId="0" xfId="0" applyFont="1" applyProtection="1">
      <protection locked="0"/>
    </xf>
    <xf numFmtId="10" fontId="48" fillId="0" borderId="0" xfId="2" applyNumberFormat="1" applyFont="1" applyAlignment="1">
      <alignment horizontal="center"/>
    </xf>
    <xf numFmtId="0" fontId="48" fillId="0" borderId="0" xfId="0" applyFont="1" applyAlignment="1">
      <alignment horizontal="center"/>
    </xf>
    <xf numFmtId="0" fontId="23" fillId="0" borderId="0" xfId="0" applyFont="1" applyAlignment="1" applyProtection="1">
      <alignment horizontal="center"/>
    </xf>
    <xf numFmtId="0" fontId="27" fillId="0" borderId="0" xfId="0" applyFont="1" applyAlignment="1" applyProtection="1">
      <alignment horizontal="center"/>
    </xf>
    <xf numFmtId="0" fontId="0" fillId="0" borderId="0" xfId="0" applyProtection="1"/>
    <xf numFmtId="0" fontId="30" fillId="0" borderId="0" xfId="0" applyFont="1" applyAlignment="1" applyProtection="1">
      <alignment horizontal="centerContinuous"/>
    </xf>
    <xf numFmtId="0" fontId="31" fillId="0" borderId="0" xfId="0" applyFont="1" applyProtection="1"/>
    <xf numFmtId="0" fontId="32" fillId="0" borderId="0" xfId="0" applyFont="1" applyAlignment="1" applyProtection="1">
      <alignment horizontal="center"/>
    </xf>
    <xf numFmtId="10" fontId="45" fillId="0" borderId="2" xfId="2" applyNumberFormat="1" applyFont="1" applyBorder="1" applyAlignment="1" applyProtection="1">
      <alignment horizontal="center"/>
    </xf>
    <xf numFmtId="0" fontId="50" fillId="0" borderId="0" xfId="0" applyFont="1" applyAlignment="1" applyProtection="1">
      <alignment horizontal="center"/>
    </xf>
    <xf numFmtId="0" fontId="52" fillId="0" borderId="0" xfId="0" applyFont="1" applyAlignment="1">
      <alignment horizontal="centerContinuous"/>
    </xf>
    <xf numFmtId="0" fontId="0" fillId="0" borderId="0" xfId="0" applyAlignment="1" applyProtection="1">
      <alignment horizontal="right"/>
      <protection locked="0"/>
    </xf>
    <xf numFmtId="0" fontId="0" fillId="0" borderId="0" xfId="0" applyProtection="1">
      <protection locked="0"/>
    </xf>
    <xf numFmtId="0" fontId="0" fillId="0" borderId="0" xfId="0" applyAlignment="1" applyProtection="1">
      <alignment horizontal="center"/>
      <protection locked="0"/>
    </xf>
    <xf numFmtId="0" fontId="39" fillId="0" borderId="0" xfId="0" applyFont="1" applyAlignment="1" applyProtection="1">
      <alignment horizontal="centerContinuous"/>
      <protection locked="0"/>
    </xf>
    <xf numFmtId="0" fontId="0" fillId="0" borderId="0" xfId="0" applyAlignment="1" applyProtection="1">
      <alignment horizontal="centerContinuous"/>
      <protection locked="0"/>
    </xf>
    <xf numFmtId="0" fontId="2" fillId="0" borderId="0" xfId="0" applyFont="1" applyAlignment="1" applyProtection="1">
      <alignment horizontal="center"/>
      <protection locked="0"/>
    </xf>
    <xf numFmtId="0" fontId="24" fillId="0" borderId="0" xfId="0" applyFont="1" applyAlignment="1" applyProtection="1">
      <alignment horizontal="centerContinuous"/>
      <protection locked="0"/>
    </xf>
    <xf numFmtId="0" fontId="24" fillId="0" borderId="4" xfId="0" applyFont="1" applyBorder="1" applyAlignment="1" applyProtection="1">
      <alignment horizontal="centerContinuous"/>
      <protection locked="0"/>
    </xf>
    <xf numFmtId="5" fontId="0" fillId="0" borderId="0" xfId="0" applyNumberFormat="1" applyAlignment="1" applyProtection="1">
      <alignment horizontal="center"/>
      <protection locked="0"/>
    </xf>
    <xf numFmtId="5" fontId="2" fillId="0" borderId="0" xfId="0" applyNumberFormat="1" applyFont="1" applyAlignment="1" applyProtection="1">
      <alignment horizontal="center"/>
      <protection locked="0"/>
    </xf>
    <xf numFmtId="6" fontId="0" fillId="0" borderId="0" xfId="0" applyNumberFormat="1" applyAlignment="1" applyProtection="1">
      <alignment horizontal="center"/>
      <protection locked="0"/>
    </xf>
    <xf numFmtId="168" fontId="0" fillId="0" borderId="0" xfId="0" applyNumberFormat="1" applyAlignment="1" applyProtection="1">
      <alignment horizontal="center"/>
      <protection locked="0"/>
    </xf>
    <xf numFmtId="165" fontId="0" fillId="0" borderId="0" xfId="0" applyNumberFormat="1" applyAlignment="1" applyProtection="1">
      <alignment horizontal="center"/>
      <protection locked="0"/>
    </xf>
    <xf numFmtId="164" fontId="0" fillId="0" borderId="0" xfId="2" applyNumberFormat="1" applyFont="1" applyAlignment="1" applyProtection="1">
      <alignment horizontal="center"/>
      <protection locked="0"/>
    </xf>
    <xf numFmtId="0" fontId="1" fillId="0" borderId="0" xfId="0" applyFont="1" applyAlignment="1" applyProtection="1">
      <alignment horizontal="right"/>
      <protection locked="0"/>
    </xf>
    <xf numFmtId="0" fontId="2" fillId="0" borderId="0" xfId="0" applyFont="1" applyAlignment="1" applyProtection="1">
      <alignment horizontal="left"/>
      <protection locked="0"/>
    </xf>
    <xf numFmtId="0" fontId="25" fillId="0" borderId="0" xfId="0" applyFont="1" applyAlignment="1" applyProtection="1">
      <alignment horizontal="centerContinuous"/>
      <protection locked="0"/>
    </xf>
    <xf numFmtId="0" fontId="0" fillId="0" borderId="0" xfId="0" applyAlignment="1" applyProtection="1">
      <alignment horizontal="left"/>
      <protection locked="0"/>
    </xf>
    <xf numFmtId="0" fontId="46" fillId="0" borderId="0" xfId="0" applyFont="1" applyProtection="1">
      <protection locked="0"/>
    </xf>
    <xf numFmtId="5" fontId="0" fillId="0" borderId="0" xfId="0" applyNumberFormat="1" applyAlignment="1" applyProtection="1">
      <alignment horizontal="left"/>
      <protection locked="0"/>
    </xf>
    <xf numFmtId="0" fontId="0" fillId="0" borderId="0" xfId="0" applyAlignment="1" applyProtection="1">
      <alignment horizontal="left"/>
    </xf>
    <xf numFmtId="6" fontId="0" fillId="0" borderId="0" xfId="0" applyNumberFormat="1" applyAlignment="1" applyProtection="1">
      <alignment horizontal="center"/>
    </xf>
    <xf numFmtId="0" fontId="31" fillId="0" borderId="0" xfId="0" applyFont="1" applyAlignment="1" applyProtection="1">
      <alignment horizontal="center"/>
    </xf>
    <xf numFmtId="0" fontId="52" fillId="0" borderId="0" xfId="0" applyFont="1" applyAlignment="1" applyProtection="1">
      <alignment horizontal="right"/>
    </xf>
    <xf numFmtId="0" fontId="52" fillId="0" borderId="0" xfId="0" applyNumberFormat="1" applyFont="1" applyBorder="1" applyAlignment="1" applyProtection="1">
      <alignment horizontal="center"/>
    </xf>
    <xf numFmtId="0" fontId="57" fillId="0" borderId="0" xfId="0" applyFont="1"/>
    <xf numFmtId="10" fontId="57" fillId="0" borderId="0" xfId="2" applyNumberFormat="1" applyFont="1" applyAlignment="1">
      <alignment horizontal="center"/>
    </xf>
    <xf numFmtId="10" fontId="33" fillId="0" borderId="0" xfId="2" applyNumberFormat="1" applyFont="1" applyAlignment="1" applyProtection="1">
      <alignment horizontal="center"/>
      <protection locked="0"/>
    </xf>
    <xf numFmtId="0" fontId="34" fillId="0" borderId="0" xfId="2" applyNumberFormat="1" applyFont="1" applyBorder="1" applyAlignment="1">
      <alignment horizontal="center"/>
    </xf>
    <xf numFmtId="0" fontId="48" fillId="0" borderId="0" xfId="2" applyNumberFormat="1" applyFont="1" applyBorder="1" applyAlignment="1">
      <alignment horizontal="center"/>
    </xf>
    <xf numFmtId="0" fontId="60" fillId="0" borderId="0" xfId="0" applyFont="1" applyAlignment="1">
      <alignment horizontal="center"/>
    </xf>
    <xf numFmtId="0" fontId="60" fillId="0" borderId="0" xfId="0" applyFont="1" applyAlignment="1">
      <alignment horizontal="right"/>
    </xf>
    <xf numFmtId="166" fontId="48" fillId="0" borderId="0" xfId="2" applyNumberFormat="1" applyFont="1" applyBorder="1" applyAlignment="1">
      <alignment horizontal="center"/>
    </xf>
    <xf numFmtId="0" fontId="58" fillId="0" borderId="0" xfId="0" applyFont="1" applyAlignment="1" applyProtection="1">
      <alignment horizontal="center"/>
    </xf>
    <xf numFmtId="0" fontId="26" fillId="0" borderId="0" xfId="0" applyFont="1" applyAlignment="1" applyProtection="1">
      <alignment horizontal="centerContinuous"/>
    </xf>
    <xf numFmtId="0" fontId="26" fillId="0" borderId="0" xfId="0" applyFont="1" applyAlignment="1" applyProtection="1">
      <alignment horizontal="center"/>
    </xf>
    <xf numFmtId="0" fontId="54" fillId="0" borderId="0" xfId="0" applyFont="1" applyAlignment="1" applyProtection="1">
      <alignment horizontal="center"/>
    </xf>
    <xf numFmtId="0" fontId="0" fillId="0" borderId="0" xfId="0" applyAlignment="1" applyProtection="1">
      <alignment horizontal="centerContinuous"/>
    </xf>
    <xf numFmtId="0" fontId="0" fillId="0" borderId="0" xfId="0" applyAlignment="1" applyProtection="1">
      <alignment horizontal="right"/>
    </xf>
    <xf numFmtId="0" fontId="2" fillId="0" borderId="0" xfId="0" applyFont="1" applyProtection="1"/>
    <xf numFmtId="0" fontId="30" fillId="0" borderId="0" xfId="0" applyFont="1" applyProtection="1"/>
    <xf numFmtId="0" fontId="25" fillId="0" borderId="0" xfId="0" applyFont="1" applyAlignment="1" applyProtection="1">
      <alignment horizontal="left"/>
    </xf>
    <xf numFmtId="0" fontId="2" fillId="0" borderId="0" xfId="0" applyFont="1" applyBorder="1" applyProtection="1"/>
    <xf numFmtId="0" fontId="0" fillId="0" borderId="0" xfId="0" applyBorder="1" applyProtection="1"/>
    <xf numFmtId="0" fontId="31" fillId="0" borderId="0" xfId="0" applyFont="1" applyAlignment="1" applyProtection="1">
      <alignment horizontal="right"/>
    </xf>
    <xf numFmtId="0" fontId="52" fillId="0" borderId="0" xfId="0" applyFont="1" applyAlignment="1" applyProtection="1">
      <alignment horizontal="left"/>
    </xf>
    <xf numFmtId="14" fontId="52" fillId="0" borderId="0" xfId="0" applyNumberFormat="1" applyFont="1" applyAlignment="1" applyProtection="1">
      <alignment horizontal="right"/>
    </xf>
    <xf numFmtId="0" fontId="53" fillId="0" borderId="0" xfId="0" applyFont="1" applyAlignment="1" applyProtection="1">
      <alignment horizontal="right"/>
    </xf>
    <xf numFmtId="0" fontId="0" fillId="0" borderId="0" xfId="0" applyAlignment="1" applyProtection="1">
      <alignment horizontal="center"/>
    </xf>
    <xf numFmtId="0" fontId="52" fillId="0" borderId="0" xfId="0" applyFont="1" applyProtection="1"/>
    <xf numFmtId="0" fontId="21" fillId="0" borderId="0" xfId="0" applyFont="1" applyAlignment="1" applyProtection="1">
      <alignment horizontal="right"/>
    </xf>
    <xf numFmtId="0" fontId="21" fillId="0" borderId="0" xfId="0" applyFont="1" applyAlignment="1" applyProtection="1">
      <alignment horizontal="center"/>
    </xf>
    <xf numFmtId="0" fontId="22" fillId="0" borderId="0" xfId="0" applyFont="1" applyAlignment="1" applyProtection="1">
      <alignment horizontal="left"/>
    </xf>
    <xf numFmtId="0" fontId="25" fillId="0" borderId="0" xfId="0" applyFont="1" applyAlignment="1" applyProtection="1">
      <alignment horizontal="right"/>
    </xf>
    <xf numFmtId="0" fontId="31" fillId="0" borderId="0" xfId="0" applyFont="1" applyAlignment="1" applyProtection="1">
      <alignment horizontal="left"/>
    </xf>
    <xf numFmtId="0" fontId="22" fillId="0" borderId="0" xfId="0" applyFont="1" applyProtection="1"/>
    <xf numFmtId="0" fontId="58" fillId="0" borderId="0" xfId="0" applyFont="1" applyProtection="1"/>
    <xf numFmtId="0" fontId="30" fillId="0" borderId="0" xfId="0" applyFont="1" applyAlignment="1" applyProtection="1">
      <alignment horizontal="right"/>
    </xf>
    <xf numFmtId="0" fontId="0" fillId="0" borderId="0" xfId="0" quotePrefix="1" applyBorder="1" applyAlignment="1" applyProtection="1">
      <alignment horizontal="left"/>
    </xf>
    <xf numFmtId="0" fontId="0" fillId="0" borderId="0" xfId="0" applyFill="1" applyBorder="1" applyProtection="1"/>
    <xf numFmtId="0" fontId="47" fillId="0" borderId="0" xfId="0" applyFont="1" applyBorder="1" applyAlignment="1" applyProtection="1">
      <alignment horizontal="center"/>
    </xf>
    <xf numFmtId="0" fontId="5" fillId="0" borderId="5" xfId="0" applyFont="1" applyBorder="1" applyProtection="1"/>
    <xf numFmtId="0" fontId="0" fillId="0" borderId="6" xfId="0" applyFill="1" applyBorder="1" applyProtection="1"/>
    <xf numFmtId="0" fontId="0" fillId="0" borderId="6" xfId="0" applyBorder="1" applyProtection="1"/>
    <xf numFmtId="0" fontId="0" fillId="0" borderId="7" xfId="0" applyBorder="1" applyProtection="1"/>
    <xf numFmtId="0" fontId="0" fillId="0" borderId="5" xfId="0" applyBorder="1" applyProtection="1"/>
    <xf numFmtId="0" fontId="0" fillId="0" borderId="8" xfId="0" applyBorder="1" applyAlignment="1" applyProtection="1">
      <alignment horizontal="center"/>
    </xf>
    <xf numFmtId="0" fontId="32" fillId="0" borderId="0" xfId="0" applyFont="1" applyProtection="1"/>
    <xf numFmtId="0" fontId="1" fillId="0" borderId="0" xfId="0" applyFont="1" applyAlignment="1" applyProtection="1">
      <alignment horizontal="right"/>
    </xf>
    <xf numFmtId="0" fontId="5" fillId="0" borderId="0" xfId="0" applyFont="1" applyAlignment="1" applyProtection="1">
      <alignment horizontal="left"/>
    </xf>
    <xf numFmtId="0" fontId="1" fillId="0" borderId="0" xfId="0" applyFont="1" applyFill="1" applyBorder="1" applyAlignment="1" applyProtection="1">
      <alignment horizontal="right"/>
    </xf>
    <xf numFmtId="1" fontId="5" fillId="0" borderId="0" xfId="2" applyNumberFormat="1" applyFont="1" applyFill="1" applyBorder="1" applyAlignment="1" applyProtection="1">
      <alignment horizontal="left"/>
    </xf>
    <xf numFmtId="0" fontId="1" fillId="0" borderId="0" xfId="0" applyFont="1" applyFill="1" applyBorder="1" applyAlignment="1" applyProtection="1">
      <alignment horizontal="left"/>
    </xf>
    <xf numFmtId="0" fontId="1" fillId="0" borderId="0" xfId="0" applyFont="1" applyAlignment="1" applyProtection="1">
      <alignment horizontal="left"/>
    </xf>
    <xf numFmtId="0" fontId="1" fillId="0" borderId="9" xfId="0" applyFont="1" applyBorder="1" applyAlignment="1" applyProtection="1">
      <alignment horizontal="left"/>
    </xf>
    <xf numFmtId="0" fontId="1" fillId="0" borderId="8" xfId="0" applyFont="1" applyBorder="1" applyAlignment="1" applyProtection="1">
      <alignment horizontal="left"/>
    </xf>
    <xf numFmtId="0" fontId="1" fillId="0" borderId="0" xfId="0" applyFont="1" applyBorder="1" applyAlignment="1" applyProtection="1">
      <alignment horizontal="left"/>
    </xf>
    <xf numFmtId="0" fontId="5" fillId="0" borderId="0" xfId="0" applyFont="1" applyAlignment="1" applyProtection="1">
      <alignment horizontal="right"/>
    </xf>
    <xf numFmtId="1" fontId="5" fillId="0" borderId="0" xfId="0" applyNumberFormat="1" applyFont="1" applyAlignment="1" applyProtection="1">
      <alignment horizontal="left"/>
    </xf>
    <xf numFmtId="0" fontId="5" fillId="0" borderId="0" xfId="2" applyNumberFormat="1" applyFont="1" applyFill="1" applyBorder="1" applyAlignment="1" applyProtection="1">
      <alignment horizontal="left"/>
    </xf>
    <xf numFmtId="164" fontId="5" fillId="0" borderId="0" xfId="2" applyNumberFormat="1" applyFont="1" applyFill="1" applyBorder="1" applyAlignment="1" applyProtection="1">
      <alignment horizontal="left"/>
    </xf>
    <xf numFmtId="0" fontId="0" fillId="0" borderId="10" xfId="0" applyBorder="1" applyAlignment="1" applyProtection="1">
      <alignment horizontal="center"/>
    </xf>
    <xf numFmtId="0" fontId="0" fillId="0" borderId="11" xfId="0" applyFill="1" applyBorder="1" applyProtection="1"/>
    <xf numFmtId="0" fontId="0" fillId="0" borderId="11" xfId="0" applyBorder="1" applyProtection="1"/>
    <xf numFmtId="0" fontId="0" fillId="0" borderId="12" xfId="0" applyBorder="1" applyProtection="1"/>
    <xf numFmtId="0" fontId="0" fillId="0" borderId="10" xfId="0" applyBorder="1" applyProtection="1"/>
    <xf numFmtId="0" fontId="4" fillId="0" borderId="13" xfId="0" applyFont="1" applyBorder="1" applyAlignment="1" applyProtection="1">
      <alignment horizontal="center"/>
    </xf>
    <xf numFmtId="0" fontId="4" fillId="0" borderId="0" xfId="0" applyFont="1" applyFill="1" applyBorder="1" applyProtection="1"/>
    <xf numFmtId="0" fontId="4" fillId="0" borderId="14" xfId="0" applyFont="1" applyBorder="1" applyProtection="1"/>
    <xf numFmtId="0" fontId="4" fillId="0" borderId="9" xfId="0" applyFont="1" applyBorder="1" applyProtection="1"/>
    <xf numFmtId="0" fontId="4" fillId="0" borderId="0" xfId="0" applyFont="1" applyFill="1" applyProtection="1"/>
    <xf numFmtId="0" fontId="4" fillId="0" borderId="0" xfId="0" applyFont="1" applyProtection="1"/>
    <xf numFmtId="0" fontId="4" fillId="0" borderId="0" xfId="0" applyFont="1" applyFill="1" applyAlignment="1" applyProtection="1">
      <alignment horizontal="center"/>
    </xf>
    <xf numFmtId="0" fontId="0" fillId="0" borderId="9" xfId="0" applyBorder="1" applyProtection="1"/>
    <xf numFmtId="0" fontId="0" fillId="0" borderId="8" xfId="0" applyBorder="1" applyProtection="1"/>
    <xf numFmtId="0" fontId="4" fillId="0" borderId="15" xfId="0" applyFont="1" applyBorder="1" applyAlignment="1" applyProtection="1">
      <alignment horizontal="center"/>
    </xf>
    <xf numFmtId="0" fontId="1" fillId="0" borderId="0" xfId="0" applyFont="1" applyFill="1" applyBorder="1" applyAlignment="1" applyProtection="1">
      <alignment horizontal="centerContinuous"/>
    </xf>
    <xf numFmtId="0" fontId="4" fillId="0" borderId="0" xfId="0" applyFont="1" applyBorder="1" applyAlignment="1" applyProtection="1">
      <alignment horizontal="centerContinuous"/>
    </xf>
    <xf numFmtId="0" fontId="4" fillId="0" borderId="9" xfId="0" applyFont="1" applyBorder="1" applyAlignment="1" applyProtection="1">
      <alignment horizontal="centerContinuous"/>
    </xf>
    <xf numFmtId="0" fontId="1" fillId="0" borderId="0" xfId="0" applyFont="1" applyFill="1" applyAlignment="1" applyProtection="1">
      <alignment horizontal="centerContinuous"/>
    </xf>
    <xf numFmtId="0" fontId="4" fillId="0" borderId="0" xfId="0" applyFont="1" applyAlignment="1" applyProtection="1">
      <alignment horizontal="centerContinuous"/>
    </xf>
    <xf numFmtId="0" fontId="4" fillId="0" borderId="0" xfId="0" applyFont="1" applyFill="1" applyAlignment="1" applyProtection="1">
      <alignment horizontal="centerContinuous"/>
    </xf>
    <xf numFmtId="0" fontId="0" fillId="0" borderId="9" xfId="0" applyBorder="1" applyAlignment="1" applyProtection="1">
      <alignment horizontal="centerContinuous"/>
    </xf>
    <xf numFmtId="0" fontId="1" fillId="0" borderId="8" xfId="0" applyFont="1" applyFill="1" applyBorder="1" applyAlignment="1" applyProtection="1">
      <alignment horizontal="centerContinuous"/>
    </xf>
    <xf numFmtId="0" fontId="1" fillId="0" borderId="9" xfId="0" applyFont="1" applyFill="1" applyBorder="1" applyAlignment="1" applyProtection="1">
      <alignment horizontal="centerContinuous"/>
    </xf>
    <xf numFmtId="0" fontId="0" fillId="0" borderId="9" xfId="0" applyBorder="1" applyAlignment="1" applyProtection="1">
      <alignment horizontal="left"/>
    </xf>
    <xf numFmtId="0" fontId="5" fillId="0" borderId="8" xfId="0" applyFont="1" applyBorder="1" applyAlignment="1" applyProtection="1">
      <alignment horizontal="center"/>
    </xf>
    <xf numFmtId="0" fontId="5" fillId="0" borderId="0" xfId="0" applyFont="1" applyBorder="1" applyAlignment="1" applyProtection="1">
      <alignment horizontal="center"/>
    </xf>
    <xf numFmtId="0" fontId="5" fillId="0" borderId="9" xfId="0" applyFont="1" applyBorder="1" applyAlignment="1" applyProtection="1">
      <alignment horizontal="center"/>
    </xf>
    <xf numFmtId="0" fontId="47" fillId="0" borderId="0" xfId="0" applyFont="1" applyProtection="1"/>
    <xf numFmtId="0" fontId="0" fillId="0" borderId="8" xfId="0" applyBorder="1" applyAlignment="1" applyProtection="1">
      <alignment horizontal="centerContinuous"/>
    </xf>
    <xf numFmtId="0" fontId="0" fillId="0" borderId="0" xfId="0" applyBorder="1" applyAlignment="1" applyProtection="1">
      <alignment horizontal="centerContinuous"/>
    </xf>
    <xf numFmtId="0" fontId="1" fillId="0" borderId="0" xfId="0" applyFont="1" applyFill="1" applyBorder="1" applyAlignment="1" applyProtection="1">
      <alignment horizontal="center"/>
    </xf>
    <xf numFmtId="0" fontId="4" fillId="0" borderId="0" xfId="0" applyFont="1" applyAlignment="1" applyProtection="1">
      <alignment horizontal="center"/>
    </xf>
    <xf numFmtId="0" fontId="4" fillId="0" borderId="9" xfId="0" applyFont="1" applyFill="1" applyBorder="1" applyAlignment="1" applyProtection="1">
      <alignment horizontal="center"/>
    </xf>
    <xf numFmtId="0" fontId="4" fillId="0" borderId="8" xfId="0" applyFont="1" applyFill="1" applyBorder="1" applyAlignment="1" applyProtection="1">
      <alignment horizontal="center"/>
    </xf>
    <xf numFmtId="0" fontId="4" fillId="0" borderId="0" xfId="0" applyFont="1" applyFill="1" applyBorder="1" applyAlignment="1" applyProtection="1">
      <alignment horizontal="center"/>
    </xf>
    <xf numFmtId="0" fontId="1" fillId="0" borderId="0" xfId="0" applyFont="1" applyProtection="1"/>
    <xf numFmtId="0" fontId="4" fillId="0" borderId="0" xfId="0" applyFont="1" applyFill="1" applyBorder="1" applyAlignment="1" applyProtection="1">
      <alignment horizontal="left"/>
    </xf>
    <xf numFmtId="0" fontId="46" fillId="0" borderId="0" xfId="0" applyFont="1" applyFill="1" applyBorder="1" applyAlignment="1" applyProtection="1">
      <alignment horizontal="center"/>
    </xf>
    <xf numFmtId="0" fontId="5" fillId="0" borderId="0" xfId="0" applyFont="1" applyFill="1" applyBorder="1" applyAlignment="1" applyProtection="1">
      <alignment horizontal="center"/>
    </xf>
    <xf numFmtId="0" fontId="4" fillId="0" borderId="9" xfId="0" applyFont="1" applyBorder="1" applyAlignment="1" applyProtection="1">
      <alignment horizontal="center"/>
    </xf>
    <xf numFmtId="0" fontId="4" fillId="0" borderId="0" xfId="0" applyFont="1" applyBorder="1" applyAlignment="1" applyProtection="1">
      <alignment horizontal="center"/>
    </xf>
    <xf numFmtId="0" fontId="4" fillId="0" borderId="8" xfId="0" applyFont="1" applyBorder="1" applyAlignment="1" applyProtection="1">
      <alignment horizontal="center"/>
    </xf>
    <xf numFmtId="0" fontId="2" fillId="0" borderId="16" xfId="0" applyFont="1" applyFill="1" applyBorder="1" applyAlignment="1" applyProtection="1">
      <alignment horizontal="center"/>
    </xf>
    <xf numFmtId="0" fontId="4" fillId="0" borderId="16" xfId="0" applyFont="1" applyFill="1" applyBorder="1" applyAlignment="1" applyProtection="1">
      <alignment horizontal="center"/>
    </xf>
    <xf numFmtId="0" fontId="4" fillId="0" borderId="17" xfId="0" applyFont="1" applyFill="1" applyBorder="1" applyAlignment="1" applyProtection="1">
      <alignment horizontal="center"/>
    </xf>
    <xf numFmtId="0" fontId="4" fillId="0" borderId="18" xfId="0" applyFont="1" applyFill="1" applyBorder="1" applyAlignment="1" applyProtection="1">
      <alignment horizontal="center"/>
    </xf>
    <xf numFmtId="0" fontId="4" fillId="0" borderId="9" xfId="0" quotePrefix="1" applyFont="1" applyBorder="1" applyAlignment="1" applyProtection="1">
      <alignment horizontal="center"/>
    </xf>
    <xf numFmtId="0" fontId="47" fillId="0" borderId="0" xfId="0" applyFont="1" applyFill="1" applyBorder="1" applyAlignment="1" applyProtection="1">
      <alignment horizontal="centerContinuous"/>
    </xf>
    <xf numFmtId="0" fontId="2" fillId="0" borderId="9" xfId="0" quotePrefix="1" applyFont="1" applyFill="1" applyBorder="1" applyAlignment="1" applyProtection="1">
      <alignment horizontal="center"/>
    </xf>
    <xf numFmtId="0" fontId="2" fillId="0" borderId="0" xfId="0" applyFont="1" applyFill="1" applyAlignment="1" applyProtection="1">
      <alignment horizontal="center"/>
    </xf>
    <xf numFmtId="0" fontId="2" fillId="0" borderId="0" xfId="0" applyFont="1" applyFill="1" applyBorder="1" applyAlignment="1" applyProtection="1">
      <alignment horizontal="center"/>
    </xf>
    <xf numFmtId="0" fontId="2" fillId="0" borderId="19" xfId="0" quotePrefix="1" applyFont="1" applyFill="1" applyBorder="1" applyAlignment="1" applyProtection="1">
      <alignment horizontal="center"/>
    </xf>
    <xf numFmtId="0" fontId="2" fillId="0" borderId="0" xfId="0" applyFont="1" applyAlignment="1" applyProtection="1">
      <alignment horizontal="center"/>
    </xf>
    <xf numFmtId="0" fontId="2" fillId="0" borderId="0" xfId="0" quotePrefix="1" applyFont="1" applyFill="1" applyAlignment="1" applyProtection="1">
      <alignment horizontal="center"/>
    </xf>
    <xf numFmtId="0" fontId="2" fillId="0" borderId="8" xfId="0" quotePrefix="1" applyFont="1" applyFill="1" applyBorder="1" applyAlignment="1" applyProtection="1">
      <alignment horizontal="center"/>
    </xf>
    <xf numFmtId="0" fontId="2" fillId="0" borderId="0" xfId="0" quotePrefix="1" applyFont="1" applyFill="1" applyBorder="1" applyAlignment="1" applyProtection="1">
      <alignment horizontal="center"/>
    </xf>
    <xf numFmtId="0" fontId="2" fillId="0" borderId="9" xfId="0" applyFont="1" applyFill="1" applyBorder="1" applyAlignment="1" applyProtection="1">
      <alignment horizontal="center"/>
    </xf>
    <xf numFmtId="0" fontId="0" fillId="0" borderId="15" xfId="0" applyBorder="1" applyAlignment="1" applyProtection="1">
      <alignment horizontal="center"/>
    </xf>
    <xf numFmtId="0" fontId="0" fillId="0" borderId="0" xfId="0" applyFill="1" applyAlignment="1" applyProtection="1">
      <alignment horizontal="center"/>
    </xf>
    <xf numFmtId="0" fontId="0" fillId="0" borderId="0" xfId="0" applyFill="1" applyBorder="1" applyAlignment="1" applyProtection="1">
      <alignment horizontal="center"/>
    </xf>
    <xf numFmtId="0" fontId="0" fillId="0" borderId="19" xfId="0" applyBorder="1" applyAlignment="1" applyProtection="1">
      <alignment horizontal="center"/>
    </xf>
    <xf numFmtId="0" fontId="46" fillId="0" borderId="9" xfId="0" applyFont="1" applyBorder="1" applyAlignment="1" applyProtection="1">
      <alignment horizontal="center"/>
    </xf>
    <xf numFmtId="0" fontId="1" fillId="0" borderId="0" xfId="0" applyFont="1" applyAlignment="1" applyProtection="1">
      <alignment horizontal="center"/>
    </xf>
    <xf numFmtId="0" fontId="4" fillId="0" borderId="20" xfId="0" applyFont="1" applyBorder="1" applyAlignment="1" applyProtection="1">
      <alignment horizontal="center"/>
    </xf>
    <xf numFmtId="5" fontId="4" fillId="0" borderId="21" xfId="1" applyNumberFormat="1" applyBorder="1" applyAlignment="1" applyProtection="1">
      <alignment horizontal="center"/>
    </xf>
    <xf numFmtId="5" fontId="47" fillId="0" borderId="2" xfId="0" applyNumberFormat="1" applyFont="1" applyFill="1" applyBorder="1" applyAlignment="1" applyProtection="1">
      <alignment horizontal="center"/>
    </xf>
    <xf numFmtId="5" fontId="46" fillId="0" borderId="2" xfId="0" applyNumberFormat="1" applyFont="1" applyFill="1" applyBorder="1" applyAlignment="1" applyProtection="1">
      <alignment horizontal="center"/>
    </xf>
    <xf numFmtId="5" fontId="46" fillId="0" borderId="22" xfId="1" applyNumberFormat="1" applyFont="1" applyBorder="1" applyAlignment="1" applyProtection="1">
      <alignment horizontal="center"/>
    </xf>
    <xf numFmtId="166" fontId="61" fillId="0" borderId="2" xfId="2" applyNumberFormat="1" applyFont="1" applyBorder="1" applyAlignment="1" applyProtection="1">
      <alignment horizontal="center"/>
    </xf>
    <xf numFmtId="0" fontId="0" fillId="0" borderId="2" xfId="0" applyBorder="1" applyProtection="1"/>
    <xf numFmtId="0" fontId="0" fillId="0" borderId="22" xfId="0" applyBorder="1" applyProtection="1"/>
    <xf numFmtId="166" fontId="61" fillId="0" borderId="2" xfId="0" applyNumberFormat="1" applyFont="1" applyBorder="1" applyAlignment="1" applyProtection="1">
      <alignment horizontal="center"/>
    </xf>
    <xf numFmtId="0" fontId="0" fillId="0" borderId="2" xfId="0" applyBorder="1" applyAlignment="1" applyProtection="1">
      <alignment horizontal="center"/>
    </xf>
    <xf numFmtId="5" fontId="0" fillId="0" borderId="2" xfId="0" applyNumberFormat="1" applyBorder="1" applyAlignment="1" applyProtection="1">
      <alignment horizontal="center"/>
    </xf>
    <xf numFmtId="5" fontId="0" fillId="0" borderId="22" xfId="0" applyNumberFormat="1" applyBorder="1" applyAlignment="1" applyProtection="1">
      <alignment horizontal="center"/>
    </xf>
    <xf numFmtId="5" fontId="0" fillId="0" borderId="23" xfId="0" applyNumberFormat="1" applyBorder="1" applyAlignment="1" applyProtection="1">
      <alignment horizontal="center"/>
    </xf>
    <xf numFmtId="0" fontId="4" fillId="0" borderId="24" xfId="0" applyFont="1" applyBorder="1" applyAlignment="1" applyProtection="1">
      <alignment horizontal="center"/>
    </xf>
    <xf numFmtId="5" fontId="0" fillId="0" borderId="17" xfId="0" applyNumberFormat="1" applyBorder="1" applyAlignment="1" applyProtection="1">
      <alignment horizontal="center"/>
    </xf>
    <xf numFmtId="5" fontId="0" fillId="0" borderId="9" xfId="0" applyNumberFormat="1" applyBorder="1" applyAlignment="1" applyProtection="1">
      <alignment horizontal="center"/>
    </xf>
    <xf numFmtId="5" fontId="4" fillId="0" borderId="0" xfId="1" applyNumberFormat="1" applyFill="1" applyBorder="1" applyAlignment="1" applyProtection="1">
      <alignment horizontal="center"/>
    </xf>
    <xf numFmtId="10" fontId="28" fillId="0" borderId="0" xfId="0" applyNumberFormat="1" applyFont="1" applyBorder="1" applyAlignment="1" applyProtection="1">
      <alignment horizontal="center"/>
    </xf>
    <xf numFmtId="5" fontId="4" fillId="0" borderId="0" xfId="1" applyNumberFormat="1" applyBorder="1" applyAlignment="1" applyProtection="1">
      <alignment horizontal="center"/>
    </xf>
    <xf numFmtId="5" fontId="4" fillId="0" borderId="9" xfId="1" applyNumberFormat="1" applyBorder="1" applyAlignment="1" applyProtection="1">
      <alignment horizontal="center"/>
    </xf>
    <xf numFmtId="0" fontId="0" fillId="0" borderId="0" xfId="0" applyBorder="1" applyAlignment="1" applyProtection="1">
      <alignment horizontal="center"/>
    </xf>
    <xf numFmtId="169" fontId="0" fillId="0" borderId="0" xfId="0" applyNumberFormat="1" applyBorder="1" applyAlignment="1" applyProtection="1">
      <alignment horizontal="center"/>
    </xf>
    <xf numFmtId="5" fontId="0" fillId="0" borderId="8" xfId="0" applyNumberFormat="1" applyBorder="1" applyAlignment="1" applyProtection="1">
      <alignment horizontal="center"/>
    </xf>
    <xf numFmtId="5" fontId="0" fillId="0" borderId="0" xfId="0" applyNumberFormat="1" applyBorder="1" applyAlignment="1" applyProtection="1">
      <alignment horizontal="center"/>
    </xf>
    <xf numFmtId="2" fontId="0" fillId="0" borderId="9" xfId="0" applyNumberFormat="1" applyBorder="1" applyAlignment="1" applyProtection="1">
      <alignment horizontal="center"/>
    </xf>
    <xf numFmtId="5" fontId="0" fillId="0" borderId="0" xfId="0" applyNumberFormat="1" applyProtection="1"/>
    <xf numFmtId="5" fontId="0" fillId="0" borderId="19" xfId="0" applyNumberFormat="1" applyBorder="1" applyAlignment="1" applyProtection="1">
      <alignment horizontal="center"/>
    </xf>
    <xf numFmtId="5" fontId="4" fillId="0" borderId="0" xfId="1" applyNumberFormat="1" applyAlignment="1" applyProtection="1">
      <alignment horizontal="center"/>
    </xf>
    <xf numFmtId="0" fontId="4" fillId="0" borderId="25" xfId="0" applyFont="1" applyBorder="1" applyAlignment="1" applyProtection="1">
      <alignment horizontal="center"/>
    </xf>
    <xf numFmtId="5" fontId="0" fillId="0" borderId="0" xfId="0" applyNumberFormat="1" applyFill="1" applyProtection="1"/>
    <xf numFmtId="5" fontId="0" fillId="0" borderId="0" xfId="0" applyNumberFormat="1" applyFill="1" applyBorder="1" applyProtection="1"/>
    <xf numFmtId="5" fontId="4" fillId="0" borderId="19" xfId="1" applyNumberFormat="1" applyBorder="1" applyProtection="1"/>
    <xf numFmtId="5" fontId="4" fillId="0" borderId="9" xfId="1" applyNumberFormat="1" applyBorder="1" applyProtection="1"/>
    <xf numFmtId="5" fontId="4" fillId="0" borderId="0" xfId="1" applyNumberFormat="1" applyFill="1" applyAlignment="1" applyProtection="1">
      <alignment horizontal="center"/>
    </xf>
    <xf numFmtId="10" fontId="0" fillId="0" borderId="0" xfId="0" applyNumberFormat="1" applyAlignment="1" applyProtection="1">
      <alignment horizontal="center"/>
    </xf>
    <xf numFmtId="5" fontId="0" fillId="0" borderId="0" xfId="0" applyNumberFormat="1" applyAlignment="1" applyProtection="1">
      <alignment horizontal="center"/>
    </xf>
    <xf numFmtId="5" fontId="0" fillId="0" borderId="9" xfId="0" applyNumberFormat="1" applyBorder="1" applyProtection="1"/>
    <xf numFmtId="5" fontId="0" fillId="0" borderId="8" xfId="0" applyNumberFormat="1" applyBorder="1" applyProtection="1"/>
    <xf numFmtId="5" fontId="0" fillId="0" borderId="0" xfId="0" applyNumberFormat="1" applyBorder="1" applyProtection="1"/>
    <xf numFmtId="2" fontId="0" fillId="0" borderId="9" xfId="0" applyNumberFormat="1" applyBorder="1" applyProtection="1"/>
    <xf numFmtId="0" fontId="1" fillId="0" borderId="26" xfId="0" applyFont="1" applyBorder="1" applyAlignment="1" applyProtection="1">
      <alignment horizontal="center"/>
    </xf>
    <xf numFmtId="0" fontId="0" fillId="0" borderId="27" xfId="0" applyFill="1" applyBorder="1" applyProtection="1"/>
    <xf numFmtId="0" fontId="0" fillId="0" borderId="28" xfId="0" applyBorder="1" applyProtection="1"/>
    <xf numFmtId="0" fontId="0" fillId="0" borderId="29" xfId="0" applyBorder="1" applyProtection="1"/>
    <xf numFmtId="0" fontId="0" fillId="0" borderId="27" xfId="0" applyFill="1" applyBorder="1" applyAlignment="1" applyProtection="1">
      <alignment horizontal="center"/>
    </xf>
    <xf numFmtId="0" fontId="0" fillId="0" borderId="27" xfId="0" applyBorder="1" applyAlignment="1" applyProtection="1">
      <alignment horizontal="center"/>
    </xf>
    <xf numFmtId="0" fontId="0" fillId="0" borderId="29" xfId="0" applyBorder="1" applyAlignment="1" applyProtection="1">
      <alignment horizontal="center"/>
    </xf>
    <xf numFmtId="0" fontId="0" fillId="0" borderId="27" xfId="0" applyBorder="1" applyProtection="1"/>
    <xf numFmtId="0" fontId="0" fillId="0" borderId="26" xfId="0" applyBorder="1" applyProtection="1"/>
    <xf numFmtId="2" fontId="0" fillId="0" borderId="29" xfId="0" applyNumberFormat="1" applyBorder="1" applyProtection="1"/>
    <xf numFmtId="0" fontId="3" fillId="0" borderId="8" xfId="0" applyFont="1" applyBorder="1" applyAlignment="1" applyProtection="1">
      <alignment horizontal="center"/>
    </xf>
    <xf numFmtId="0" fontId="3" fillId="0" borderId="0" xfId="0" applyFont="1" applyFill="1" applyAlignment="1" applyProtection="1">
      <alignment horizontal="center"/>
    </xf>
    <xf numFmtId="5" fontId="4" fillId="0" borderId="0" xfId="1" applyNumberFormat="1" applyFont="1" applyFill="1" applyBorder="1" applyAlignment="1" applyProtection="1">
      <alignment horizontal="center"/>
    </xf>
    <xf numFmtId="5" fontId="1" fillId="0" borderId="19" xfId="0" applyNumberFormat="1" applyFont="1" applyBorder="1" applyAlignment="1" applyProtection="1">
      <alignment horizontal="center"/>
    </xf>
    <xf numFmtId="5" fontId="1" fillId="0" borderId="9" xfId="0" applyNumberFormat="1" applyFont="1" applyBorder="1" applyAlignment="1" applyProtection="1">
      <alignment horizontal="center"/>
    </xf>
    <xf numFmtId="5" fontId="4" fillId="0" borderId="0" xfId="1" applyNumberFormat="1" applyFont="1" applyFill="1" applyAlignment="1" applyProtection="1">
      <alignment horizontal="center"/>
    </xf>
    <xf numFmtId="5" fontId="4" fillId="0" borderId="0" xfId="0" applyNumberFormat="1" applyFont="1" applyAlignment="1" applyProtection="1">
      <alignment horizontal="center"/>
    </xf>
    <xf numFmtId="0" fontId="3" fillId="0" borderId="0" xfId="0" applyFont="1" applyAlignment="1" applyProtection="1">
      <alignment horizontal="center"/>
    </xf>
    <xf numFmtId="5" fontId="3" fillId="0" borderId="9" xfId="0" applyNumberFormat="1" applyFont="1" applyBorder="1" applyAlignment="1" applyProtection="1">
      <alignment horizontal="center"/>
    </xf>
    <xf numFmtId="5" fontId="3" fillId="0" borderId="0" xfId="0" applyNumberFormat="1" applyFont="1" applyAlignment="1" applyProtection="1">
      <alignment horizontal="center"/>
    </xf>
    <xf numFmtId="5" fontId="3" fillId="0" borderId="8" xfId="0" applyNumberFormat="1" applyFont="1" applyBorder="1" applyAlignment="1" applyProtection="1">
      <alignment horizontal="center"/>
    </xf>
    <xf numFmtId="5" fontId="3" fillId="0" borderId="0" xfId="0" applyNumberFormat="1" applyFont="1" applyBorder="1" applyAlignment="1" applyProtection="1">
      <alignment horizontal="center"/>
    </xf>
    <xf numFmtId="2" fontId="3" fillId="0" borderId="9" xfId="0" applyNumberFormat="1" applyFont="1" applyBorder="1" applyAlignment="1" applyProtection="1">
      <alignment horizontal="center"/>
    </xf>
    <xf numFmtId="0" fontId="3" fillId="0" borderId="0" xfId="0" applyFont="1" applyBorder="1" applyAlignment="1" applyProtection="1">
      <alignment horizontal="center"/>
    </xf>
    <xf numFmtId="0" fontId="0" fillId="0" borderId="30" xfId="0" applyBorder="1" applyAlignment="1" applyProtection="1">
      <alignment horizontal="center"/>
    </xf>
    <xf numFmtId="0" fontId="0" fillId="0" borderId="4" xfId="0" applyFill="1" applyBorder="1" applyProtection="1"/>
    <xf numFmtId="0" fontId="0" fillId="0" borderId="31" xfId="0" applyFill="1" applyBorder="1" applyProtection="1"/>
    <xf numFmtId="0" fontId="0" fillId="0" borderId="32" xfId="0" applyBorder="1" applyProtection="1"/>
    <xf numFmtId="0" fontId="0" fillId="0" borderId="4" xfId="0" applyBorder="1" applyProtection="1"/>
    <xf numFmtId="0" fontId="0" fillId="0" borderId="30" xfId="0" applyBorder="1" applyProtection="1"/>
    <xf numFmtId="0" fontId="0" fillId="0" borderId="0" xfId="0" applyFill="1" applyProtection="1"/>
    <xf numFmtId="0" fontId="37" fillId="0" borderId="0" xfId="0" applyFont="1" applyFill="1" applyAlignment="1" applyProtection="1">
      <alignment horizontal="right"/>
    </xf>
    <xf numFmtId="0" fontId="37" fillId="0" borderId="0" xfId="0" applyFont="1" applyFill="1" applyProtection="1"/>
    <xf numFmtId="10" fontId="4" fillId="0" borderId="0" xfId="2" applyNumberFormat="1" applyFont="1" applyAlignment="1" applyProtection="1">
      <alignment horizontal="center"/>
    </xf>
    <xf numFmtId="2" fontId="0" fillId="0" borderId="0" xfId="0" applyNumberFormat="1" applyProtection="1"/>
    <xf numFmtId="2" fontId="0" fillId="0" borderId="0" xfId="0" applyNumberFormat="1" applyAlignment="1" applyProtection="1">
      <alignment horizontal="center"/>
    </xf>
    <xf numFmtId="3" fontId="0" fillId="0" borderId="0" xfId="0" applyNumberFormat="1" applyAlignment="1" applyProtection="1">
      <alignment horizontal="center"/>
    </xf>
    <xf numFmtId="0" fontId="47" fillId="0" borderId="0" xfId="0" applyFont="1" applyAlignment="1" applyProtection="1">
      <alignment horizontal="center"/>
    </xf>
    <xf numFmtId="0" fontId="44" fillId="0" borderId="0" xfId="0" applyFont="1" applyFill="1" applyProtection="1"/>
    <xf numFmtId="0" fontId="5" fillId="0" borderId="0" xfId="0" applyFont="1" applyProtection="1"/>
    <xf numFmtId="2" fontId="0" fillId="0" borderId="0" xfId="0" applyNumberFormat="1" applyFill="1" applyProtection="1"/>
    <xf numFmtId="3" fontId="0" fillId="0" borderId="0" xfId="0" applyNumberFormat="1" applyProtection="1"/>
    <xf numFmtId="170" fontId="4" fillId="0" borderId="0" xfId="2" applyNumberFormat="1" applyProtection="1"/>
    <xf numFmtId="7" fontId="0" fillId="0" borderId="0" xfId="0" applyNumberFormat="1" applyProtection="1"/>
    <xf numFmtId="0" fontId="0" fillId="0" borderId="0" xfId="0" applyNumberFormat="1" applyFill="1" applyProtection="1"/>
    <xf numFmtId="171" fontId="0" fillId="0" borderId="0" xfId="0" applyNumberFormat="1" applyFill="1" applyProtection="1"/>
    <xf numFmtId="165" fontId="0" fillId="0" borderId="9" xfId="0" applyNumberFormat="1" applyBorder="1" applyAlignment="1" applyProtection="1">
      <alignment horizontal="center"/>
    </xf>
    <xf numFmtId="165" fontId="3" fillId="0" borderId="9" xfId="0" applyNumberFormat="1" applyFont="1" applyBorder="1" applyAlignment="1" applyProtection="1">
      <alignment horizontal="center"/>
    </xf>
    <xf numFmtId="165" fontId="62" fillId="0" borderId="9" xfId="0" applyNumberFormat="1" applyFont="1" applyBorder="1" applyAlignment="1" applyProtection="1">
      <alignment horizontal="center"/>
    </xf>
    <xf numFmtId="164" fontId="63" fillId="0" borderId="0" xfId="2" applyNumberFormat="1" applyFont="1" applyAlignment="1" applyProtection="1">
      <alignment horizontal="center"/>
    </xf>
    <xf numFmtId="0" fontId="64" fillId="0" borderId="0" xfId="0" applyFont="1" applyAlignment="1" applyProtection="1">
      <alignment horizontal="center"/>
    </xf>
    <xf numFmtId="164" fontId="64" fillId="0" borderId="0" xfId="2" applyNumberFormat="1" applyFont="1" applyAlignment="1" applyProtection="1">
      <alignment horizontal="center"/>
    </xf>
    <xf numFmtId="0" fontId="65" fillId="0" borderId="0" xfId="0" applyFont="1" applyAlignment="1" applyProtection="1">
      <alignment horizontal="center"/>
    </xf>
    <xf numFmtId="9" fontId="66" fillId="0" borderId="0" xfId="2" applyFont="1" applyAlignment="1" applyProtection="1">
      <alignment horizontal="center"/>
      <protection locked="0"/>
    </xf>
    <xf numFmtId="0" fontId="59" fillId="0" borderId="33" xfId="0" applyFont="1" applyBorder="1" applyAlignment="1">
      <alignment horizontal="center"/>
    </xf>
    <xf numFmtId="0" fontId="48" fillId="0" borderId="34" xfId="0" applyFont="1" applyBorder="1" applyAlignment="1">
      <alignment horizontal="center"/>
    </xf>
    <xf numFmtId="0" fontId="0" fillId="0" borderId="35" xfId="0" applyBorder="1"/>
    <xf numFmtId="0" fontId="0" fillId="0" borderId="36" xfId="0" applyBorder="1"/>
    <xf numFmtId="0" fontId="48" fillId="0" borderId="35" xfId="0" applyFont="1" applyBorder="1" applyAlignment="1">
      <alignment horizontal="center"/>
    </xf>
    <xf numFmtId="0" fontId="48" fillId="0" borderId="36" xfId="0" applyFont="1" applyBorder="1" applyAlignment="1">
      <alignment horizontal="center"/>
    </xf>
    <xf numFmtId="10" fontId="48" fillId="0" borderId="35" xfId="2" applyNumberFormat="1" applyFont="1" applyBorder="1" applyAlignment="1">
      <alignment horizontal="center"/>
    </xf>
    <xf numFmtId="10" fontId="48" fillId="0" borderId="36" xfId="2" applyNumberFormat="1" applyFont="1" applyBorder="1" applyAlignment="1">
      <alignment horizontal="center"/>
    </xf>
    <xf numFmtId="10" fontId="48" fillId="0" borderId="37" xfId="2" applyNumberFormat="1" applyFont="1" applyBorder="1" applyAlignment="1">
      <alignment horizontal="center"/>
    </xf>
    <xf numFmtId="10" fontId="48" fillId="0" borderId="38" xfId="2" applyNumberFormat="1" applyFont="1" applyBorder="1" applyAlignment="1">
      <alignment horizontal="center"/>
    </xf>
    <xf numFmtId="0" fontId="67" fillId="0" borderId="39" xfId="0" applyFont="1" applyBorder="1" applyAlignment="1"/>
    <xf numFmtId="0" fontId="68" fillId="0" borderId="0" xfId="0" applyFont="1" applyBorder="1" applyAlignment="1"/>
    <xf numFmtId="0" fontId="68" fillId="0" borderId="0" xfId="0" applyFont="1"/>
    <xf numFmtId="0" fontId="21" fillId="0" borderId="0" xfId="0" applyFont="1" applyProtection="1"/>
    <xf numFmtId="0" fontId="21" fillId="0" borderId="0" xfId="0" applyFont="1"/>
    <xf numFmtId="0" fontId="70" fillId="0" borderId="40" xfId="0" applyFont="1" applyBorder="1" applyAlignment="1" applyProtection="1">
      <alignment horizontal="center"/>
    </xf>
    <xf numFmtId="0" fontId="70" fillId="0" borderId="41" xfId="0" applyFont="1" applyBorder="1" applyAlignment="1" applyProtection="1">
      <alignment horizontal="center"/>
    </xf>
    <xf numFmtId="0" fontId="70" fillId="0" borderId="42" xfId="0" applyFont="1" applyBorder="1" applyAlignment="1" applyProtection="1">
      <alignment horizontal="center"/>
    </xf>
    <xf numFmtId="169" fontId="70" fillId="0" borderId="43" xfId="0" applyNumberFormat="1" applyFont="1" applyBorder="1" applyAlignment="1" applyProtection="1">
      <alignment horizontal="center"/>
    </xf>
    <xf numFmtId="169" fontId="70" fillId="0" borderId="0" xfId="0" applyNumberFormat="1" applyFont="1" applyBorder="1" applyAlignment="1" applyProtection="1">
      <alignment horizontal="center"/>
    </xf>
    <xf numFmtId="169" fontId="70" fillId="0" borderId="44" xfId="0" applyNumberFormat="1" applyFont="1" applyBorder="1" applyProtection="1"/>
    <xf numFmtId="0" fontId="71" fillId="0" borderId="0" xfId="0" applyFont="1"/>
    <xf numFmtId="0" fontId="0" fillId="0" borderId="45" xfId="0" applyBorder="1"/>
    <xf numFmtId="0" fontId="0" fillId="0" borderId="46" xfId="0" applyBorder="1"/>
    <xf numFmtId="0" fontId="0" fillId="0" borderId="47" xfId="0" applyBorder="1"/>
    <xf numFmtId="0" fontId="68" fillId="0" borderId="0" xfId="0" applyFont="1" applyAlignment="1">
      <alignment horizontal="right"/>
    </xf>
    <xf numFmtId="0" fontId="72" fillId="0" borderId="0" xfId="0" applyFont="1"/>
    <xf numFmtId="10" fontId="0" fillId="0" borderId="0" xfId="0" applyNumberFormat="1" applyProtection="1"/>
    <xf numFmtId="0" fontId="0" fillId="0" borderId="0" xfId="0" applyNumberFormat="1" applyProtection="1"/>
    <xf numFmtId="10" fontId="0" fillId="0" borderId="0" xfId="2" applyNumberFormat="1" applyFont="1" applyProtection="1"/>
    <xf numFmtId="0" fontId="5" fillId="0" borderId="11" xfId="0" applyFont="1" applyBorder="1" applyAlignment="1" applyProtection="1">
      <alignment horizontal="right"/>
    </xf>
    <xf numFmtId="164" fontId="5" fillId="0" borderId="11" xfId="2" applyNumberFormat="1" applyFont="1" applyBorder="1" applyAlignment="1" applyProtection="1">
      <alignment horizontal="left"/>
    </xf>
    <xf numFmtId="0" fontId="73" fillId="0" borderId="0" xfId="0" applyFont="1" applyAlignment="1">
      <alignment horizontal="right"/>
    </xf>
    <xf numFmtId="0" fontId="74" fillId="0" borderId="0" xfId="0" applyFont="1"/>
  </cellXfs>
  <cellStyles count="3">
    <cellStyle name="Currency" xfId="1" builtinId="4"/>
    <cellStyle name="Normal" xfId="0" builtinId="0"/>
    <cellStyle name="Percent" xfId="2" builtinId="5"/>
  </cellStyles>
  <dxfs count="17">
    <dxf>
      <font>
        <condense val="0"/>
        <extend val="0"/>
        <color indexed="22"/>
      </font>
    </dxf>
    <dxf>
      <font>
        <condense val="0"/>
        <extend val="0"/>
        <color indexed="22"/>
      </font>
    </dxf>
    <dxf>
      <font>
        <condense val="0"/>
        <extend val="0"/>
        <color indexed="8"/>
      </font>
    </dxf>
    <dxf>
      <font>
        <condense val="0"/>
        <extend val="0"/>
        <color indexed="20"/>
      </font>
    </dxf>
    <dxf>
      <font>
        <condense val="0"/>
        <extend val="0"/>
        <color indexed="56"/>
      </font>
    </dxf>
    <dxf>
      <font>
        <b/>
        <i val="0"/>
        <condense val="0"/>
        <extend val="0"/>
        <color auto="1"/>
      </font>
    </dxf>
    <dxf>
      <font>
        <b/>
        <i val="0"/>
        <condense val="0"/>
        <extend val="0"/>
        <color auto="1"/>
      </font>
    </dxf>
    <dxf>
      <font>
        <b/>
        <i val="0"/>
        <condense val="0"/>
        <extend val="0"/>
        <color indexed="14"/>
      </font>
    </dxf>
    <dxf>
      <font>
        <b/>
        <i val="0"/>
        <condense val="0"/>
        <extend val="0"/>
        <color indexed="10"/>
      </font>
      <fill>
        <patternFill>
          <bgColor indexed="26"/>
        </patternFill>
      </fill>
      <border>
        <left style="thin">
          <color indexed="10"/>
        </left>
        <right style="thin">
          <color indexed="10"/>
        </right>
        <top style="thin">
          <color indexed="10"/>
        </top>
        <bottom style="thin">
          <color indexed="10"/>
        </bottom>
      </border>
    </dxf>
    <dxf>
      <font>
        <b/>
        <i val="0"/>
        <condense val="0"/>
        <extend val="0"/>
        <color indexed="10"/>
      </font>
      <fill>
        <patternFill>
          <bgColor indexed="26"/>
        </patternFill>
      </fill>
      <border>
        <left style="thin">
          <color indexed="10"/>
        </left>
        <right style="thin">
          <color indexed="10"/>
        </right>
        <top style="thin">
          <color indexed="10"/>
        </top>
        <bottom style="thin">
          <color indexed="10"/>
        </bottom>
      </border>
    </dxf>
    <dxf>
      <font>
        <b/>
        <i val="0"/>
        <condense val="0"/>
        <extend val="0"/>
        <color indexed="10"/>
      </font>
      <fill>
        <patternFill>
          <bgColor indexed="26"/>
        </patternFill>
      </fill>
      <border>
        <left style="thin">
          <color indexed="10"/>
        </left>
        <right style="thin">
          <color indexed="10"/>
        </right>
        <top style="thin">
          <color indexed="10"/>
        </top>
        <bottom style="thin">
          <color indexed="10"/>
        </bottom>
      </border>
    </dxf>
    <dxf>
      <font>
        <b/>
        <i val="0"/>
        <condense val="0"/>
        <extend val="0"/>
        <color indexed="10"/>
      </font>
      <fill>
        <patternFill>
          <bgColor indexed="26"/>
        </patternFill>
      </fill>
      <border>
        <left style="thin">
          <color indexed="10"/>
        </left>
        <right style="thin">
          <color indexed="10"/>
        </right>
        <top style="thin">
          <color indexed="10"/>
        </top>
        <bottom style="thin">
          <color indexed="10"/>
        </bottom>
      </border>
    </dxf>
    <dxf>
      <font>
        <b/>
        <i val="0"/>
        <condense val="0"/>
        <extend val="0"/>
        <color indexed="10"/>
      </font>
    </dxf>
    <dxf>
      <font>
        <b/>
        <i val="0"/>
        <condense val="0"/>
        <extend val="0"/>
        <color indexed="10"/>
      </font>
    </dxf>
    <dxf>
      <font>
        <b/>
        <i val="0"/>
        <condense val="0"/>
        <extend val="0"/>
        <color indexed="10"/>
      </font>
    </dxf>
    <dxf>
      <font>
        <condense val="0"/>
        <extend val="0"/>
        <color indexed="24"/>
      </font>
    </dxf>
    <dxf>
      <font>
        <b/>
        <i val="0"/>
        <condense val="0"/>
        <extend val="0"/>
        <color indexed="10"/>
      </font>
      <fill>
        <patternFill>
          <bgColor indexed="26"/>
        </patternFill>
      </fill>
      <border>
        <left style="thin">
          <color indexed="10"/>
        </left>
        <right style="thin">
          <color indexed="10"/>
        </right>
        <top style="thin">
          <color indexed="10"/>
        </top>
        <bottom style="thin">
          <color indexed="10"/>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US"/>
              <a:t>Cumulative Life-Cycle Savings</a:t>
            </a:r>
          </a:p>
        </c:rich>
      </c:tx>
      <c:layout>
        <c:manualLayout>
          <c:xMode val="edge"/>
          <c:yMode val="edge"/>
          <c:x val="0.35308680859337027"/>
          <c:y val="3.2581453634085211E-2"/>
        </c:manualLayout>
      </c:layout>
      <c:overlay val="0"/>
      <c:spPr>
        <a:noFill/>
        <a:ln w="25400">
          <a:noFill/>
        </a:ln>
      </c:spPr>
    </c:title>
    <c:autoTitleDeleted val="0"/>
    <c:plotArea>
      <c:layout>
        <c:manualLayout>
          <c:layoutTarget val="inner"/>
          <c:xMode val="edge"/>
          <c:yMode val="edge"/>
          <c:x val="0.15308660431930499"/>
          <c:y val="0.17293275408431744"/>
          <c:w val="0.50493888037577206"/>
          <c:h val="0.70426237532888702"/>
        </c:manualLayout>
      </c:layout>
      <c:scatterChart>
        <c:scatterStyle val="smoothMarker"/>
        <c:varyColors val="0"/>
        <c:ser>
          <c:idx val="1"/>
          <c:order val="0"/>
          <c:tx>
            <c:strRef>
              <c:f>'Results Summary'!$C$12</c:f>
              <c:strCache>
                <c:ptCount val="1"/>
                <c:pt idx="0">
                  <c:v>Single Pane Azurlite **</c:v>
                </c:pt>
              </c:strCache>
            </c:strRef>
          </c:tx>
          <c:spPr>
            <a:ln w="12700">
              <a:solidFill>
                <a:srgbClr val="FF00FF"/>
              </a:solidFill>
              <a:prstDash val="solid"/>
            </a:ln>
          </c:spPr>
          <c:marker>
            <c:symbol val="none"/>
          </c:marker>
          <c:xVal>
            <c:numRef>
              <c:f>'Results Summary'!$BC$24:$CB$24</c:f>
              <c:numCache>
                <c:formatCode>General</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xVal>
          <c:yVal>
            <c:numRef>
              <c:f>'Results Summary'!$BC$25:$CB$25</c:f>
              <c:numCache>
                <c:formatCode>"$"#,##0</c:formatCode>
                <c:ptCount val="26"/>
                <c:pt idx="0">
                  <c:v>-20580</c:v>
                </c:pt>
                <c:pt idx="1">
                  <c:v>5614.4862672551535</c:v>
                </c:pt>
                <c:pt idx="2">
                  <c:v>31398.342317342293</c:v>
                </c:pt>
                <c:pt idx="3">
                  <c:v>56165.183734286577</c:v>
                </c:pt>
                <c:pt idx="4">
                  <c:v>80016.769916324876</c:v>
                </c:pt>
                <c:pt idx="5">
                  <c:v>103185.41751741245</c:v>
                </c:pt>
                <c:pt idx="6">
                  <c:v>125760.75887634326</c:v>
                </c:pt>
                <c:pt idx="7">
                  <c:v>147717.94108360447</c:v>
                </c:pt>
                <c:pt idx="8">
                  <c:v>168988.72724184114</c:v>
                </c:pt>
                <c:pt idx="9">
                  <c:v>189588.46996350773</c:v>
                </c:pt>
                <c:pt idx="10">
                  <c:v>209630.58636360709</c:v>
                </c:pt>
                <c:pt idx="11">
                  <c:v>229165.849248101</c:v>
                </c:pt>
                <c:pt idx="12">
                  <c:v>248160.97328015044</c:v>
                </c:pt>
                <c:pt idx="13">
                  <c:v>266524.01086463407</c:v>
                </c:pt>
                <c:pt idx="14">
                  <c:v>284226.10390469618</c:v>
                </c:pt>
                <c:pt idx="15">
                  <c:v>301364.48121249396</c:v>
                </c:pt>
                <c:pt idx="16">
                  <c:v>317982.59557584673</c:v>
                </c:pt>
                <c:pt idx="17">
                  <c:v>334115.95135994069</c:v>
                </c:pt>
                <c:pt idx="18">
                  <c:v>349812.96690155566</c:v>
                </c:pt>
                <c:pt idx="19">
                  <c:v>365071.19906690344</c:v>
                </c:pt>
                <c:pt idx="20">
                  <c:v>379916.466302488</c:v>
                </c:pt>
                <c:pt idx="21">
                  <c:v>394368.81213660538</c:v>
                </c:pt>
                <c:pt idx="22">
                  <c:v>408464.82739683241</c:v>
                </c:pt>
                <c:pt idx="23">
                  <c:v>422216.87576013245</c:v>
                </c:pt>
                <c:pt idx="24">
                  <c:v>435632.70358377881</c:v>
                </c:pt>
                <c:pt idx="25">
                  <c:v>448724.23016935401</c:v>
                </c:pt>
              </c:numCache>
            </c:numRef>
          </c:yVal>
          <c:smooth val="0"/>
        </c:ser>
        <c:ser>
          <c:idx val="2"/>
          <c:order val="1"/>
          <c:tx>
            <c:strRef>
              <c:f>'Results Summary'!$C$13</c:f>
              <c:strCache>
                <c:ptCount val="1"/>
                <c:pt idx="0">
                  <c:v>Calif Series - Water White Crystal </c:v>
                </c:pt>
              </c:strCache>
            </c:strRef>
          </c:tx>
          <c:spPr>
            <a:ln w="12700">
              <a:solidFill>
                <a:srgbClr val="FFFF00"/>
              </a:solidFill>
              <a:prstDash val="solid"/>
            </a:ln>
          </c:spPr>
          <c:marker>
            <c:symbol val="none"/>
          </c:marker>
          <c:xVal>
            <c:numRef>
              <c:f>'Results Summary'!$BC$24:$CB$24</c:f>
              <c:numCache>
                <c:formatCode>General</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xVal>
          <c:yVal>
            <c:numRef>
              <c:f>'Results Summary'!$BC$26:$CB$26</c:f>
              <c:numCache>
                <c:formatCode>"$"#,##0</c:formatCode>
                <c:ptCount val="26"/>
                <c:pt idx="0">
                  <c:v>-427740</c:v>
                </c:pt>
                <c:pt idx="1">
                  <c:v>-391902.68474246154</c:v>
                </c:pt>
                <c:pt idx="2">
                  <c:v>-356624.51915053045</c:v>
                </c:pt>
                <c:pt idx="3">
                  <c:v>-322739.77936796122</c:v>
                </c:pt>
                <c:pt idx="4">
                  <c:v>-290116.0013864995</c:v>
                </c:pt>
                <c:pt idx="5">
                  <c:v>-258435.52776117856</c:v>
                </c:pt>
                <c:pt idx="6">
                  <c:v>-227572.78421307169</c:v>
                </c:pt>
                <c:pt idx="7">
                  <c:v>-197558.94502694532</c:v>
                </c:pt>
                <c:pt idx="8">
                  <c:v>-168487.27595068049</c:v>
                </c:pt>
                <c:pt idx="9">
                  <c:v>-140335.30549762584</c:v>
                </c:pt>
                <c:pt idx="10">
                  <c:v>-112948.26688651275</c:v>
                </c:pt>
                <c:pt idx="11">
                  <c:v>-86257.144659704529</c:v>
                </c:pt>
                <c:pt idx="12">
                  <c:v>-60304.759224740788</c:v>
                </c:pt>
                <c:pt idx="13">
                  <c:v>-35215.427619773895</c:v>
                </c:pt>
                <c:pt idx="14">
                  <c:v>-11029.591479460709</c:v>
                </c:pt>
                <c:pt idx="15">
                  <c:v>12385.103546148166</c:v>
                </c:pt>
                <c:pt idx="16">
                  <c:v>35087.422399066389</c:v>
                </c:pt>
                <c:pt idx="17">
                  <c:v>57124.829509973526</c:v>
                </c:pt>
                <c:pt idx="18">
                  <c:v>78564.405703181401</c:v>
                </c:pt>
                <c:pt idx="19">
                  <c:v>99402.912459224463</c:v>
                </c:pt>
                <c:pt idx="20">
                  <c:v>119675.04465541244</c:v>
                </c:pt>
                <c:pt idx="21">
                  <c:v>139408.40909755975</c:v>
                </c:pt>
                <c:pt idx="22">
                  <c:v>158654.40570107661</c:v>
                </c:pt>
                <c:pt idx="23">
                  <c:v>177428.76577629521</c:v>
                </c:pt>
                <c:pt idx="24">
                  <c:v>195740.97427954152</c:v>
                </c:pt>
                <c:pt idx="25">
                  <c:v>213607.64776252396</c:v>
                </c:pt>
              </c:numCache>
            </c:numRef>
          </c:yVal>
          <c:smooth val="0"/>
        </c:ser>
        <c:ser>
          <c:idx val="3"/>
          <c:order val="2"/>
          <c:tx>
            <c:strRef>
              <c:f>'Results Summary'!$C$14</c:f>
              <c:strCache>
                <c:ptCount val="1"/>
                <c:pt idx="0">
                  <c:v>Calif Series - Sea Foam Low-E Clear </c:v>
                </c:pt>
              </c:strCache>
            </c:strRef>
          </c:tx>
          <c:spPr>
            <a:ln w="12700">
              <a:solidFill>
                <a:srgbClr val="00FFFF"/>
              </a:solidFill>
              <a:prstDash val="solid"/>
            </a:ln>
          </c:spPr>
          <c:marker>
            <c:symbol val="none"/>
          </c:marker>
          <c:xVal>
            <c:numRef>
              <c:f>'Results Summary'!$BC$24:$CB$24</c:f>
              <c:numCache>
                <c:formatCode>General</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xVal>
          <c:yVal>
            <c:numRef>
              <c:f>'Results Summary'!$BC$27:$CB$27</c:f>
              <c:numCache>
                <c:formatCode>"$"#,##0</c:formatCode>
                <c:ptCount val="26"/>
                <c:pt idx="0">
                  <c:v>-329460</c:v>
                </c:pt>
                <c:pt idx="1">
                  <c:v>-287163.26526691625</c:v>
                </c:pt>
                <c:pt idx="2">
                  <c:v>-245548.71246706555</c:v>
                </c:pt>
                <c:pt idx="3">
                  <c:v>-205561.71131989243</c:v>
                </c:pt>
                <c:pt idx="4">
                  <c:v>-166989.06404659105</c:v>
                </c:pt>
                <c:pt idx="5">
                  <c:v>-129454.33741499158</c:v>
                </c:pt>
                <c:pt idx="6">
                  <c:v>-92834.119219056796</c:v>
                </c:pt>
                <c:pt idx="7">
                  <c:v>-57189.001223491505</c:v>
                </c:pt>
                <c:pt idx="8">
                  <c:v>-22629.824008359574</c:v>
                </c:pt>
                <c:pt idx="9">
                  <c:v>10857.585440558381</c:v>
                </c:pt>
                <c:pt idx="10">
                  <c:v>43459.272448400036</c:v>
                </c:pt>
                <c:pt idx="11">
                  <c:v>75260.463102762587</c:v>
                </c:pt>
                <c:pt idx="12">
                  <c:v>106187.74211124144</c:v>
                </c:pt>
                <c:pt idx="13">
                  <c:v>136081.93954978418</c:v>
                </c:pt>
                <c:pt idx="14">
                  <c:v>164903.40578229912</c:v>
                </c:pt>
                <c:pt idx="15">
                  <c:v>192813.96289055515</c:v>
                </c:pt>
                <c:pt idx="16">
                  <c:v>219888.7236594148</c:v>
                </c:pt>
                <c:pt idx="17">
                  <c:v>246193.04965653643</c:v>
                </c:pt>
                <c:pt idx="18">
                  <c:v>271799.05511693843</c:v>
                </c:pt>
                <c:pt idx="19">
                  <c:v>296702.04255161062</c:v>
                </c:pt>
                <c:pt idx="20">
                  <c:v>320948.24567485228</c:v>
                </c:pt>
                <c:pt idx="21">
                  <c:v>344568.69212739542</c:v>
                </c:pt>
                <c:pt idx="22">
                  <c:v>367612.77558032237</c:v>
                </c:pt>
                <c:pt idx="23">
                  <c:v>390109.02579207532</c:v>
                </c:pt>
                <c:pt idx="24">
                  <c:v>412078.0051413402</c:v>
                </c:pt>
                <c:pt idx="25">
                  <c:v>433536.7205682043</c:v>
                </c:pt>
              </c:numCache>
            </c:numRef>
          </c:yVal>
          <c:smooth val="0"/>
        </c:ser>
        <c:ser>
          <c:idx val="4"/>
          <c:order val="3"/>
          <c:tx>
            <c:strRef>
              <c:f>'Results Summary'!$C$15</c:f>
              <c:strCache>
                <c:ptCount val="1"/>
                <c:pt idx="0">
                  <c:v>Calif Series - Tahoe Blue </c:v>
                </c:pt>
              </c:strCache>
            </c:strRef>
          </c:tx>
          <c:spPr>
            <a:ln w="12700">
              <a:solidFill>
                <a:srgbClr val="800080"/>
              </a:solidFill>
              <a:prstDash val="solid"/>
            </a:ln>
          </c:spPr>
          <c:marker>
            <c:symbol val="none"/>
          </c:marker>
          <c:xVal>
            <c:numRef>
              <c:f>'Results Summary'!$BC$24:$CB$24</c:f>
              <c:numCache>
                <c:formatCode>General</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xVal>
          <c:yVal>
            <c:numRef>
              <c:f>'Results Summary'!$BC$28:$CB$28</c:f>
              <c:numCache>
                <c:formatCode>"$"#,##0</c:formatCode>
                <c:ptCount val="26"/>
                <c:pt idx="0">
                  <c:v>-277980</c:v>
                </c:pt>
                <c:pt idx="1">
                  <c:v>-235568.45268286602</c:v>
                </c:pt>
                <c:pt idx="2">
                  <c:v>-193812.50325698359</c:v>
                </c:pt>
                <c:pt idx="3">
                  <c:v>-153710.28736496787</c:v>
                </c:pt>
                <c:pt idx="4">
                  <c:v>-115120.69538143603</c:v>
                </c:pt>
                <c:pt idx="5">
                  <c:v>-77668.215275683906</c:v>
                </c:pt>
                <c:pt idx="6">
                  <c:v>-41197.409659302793</c:v>
                </c:pt>
                <c:pt idx="7">
                  <c:v>-5738.6193006420508</c:v>
                </c:pt>
                <c:pt idx="8">
                  <c:v>28597.99121651426</c:v>
                </c:pt>
                <c:pt idx="9">
                  <c:v>61842.415627682582</c:v>
                </c:pt>
                <c:pt idx="10">
                  <c:v>94176.880739401095</c:v>
                </c:pt>
                <c:pt idx="11">
                  <c:v>125682.02438270301</c:v>
                </c:pt>
                <c:pt idx="12">
                  <c:v>156313.46945136692</c:v>
                </c:pt>
                <c:pt idx="13">
                  <c:v>185927.51996728685</c:v>
                </c:pt>
                <c:pt idx="14">
                  <c:v>214474.09042985924</c:v>
                </c:pt>
                <c:pt idx="15">
                  <c:v>242108.27006791718</c:v>
                </c:pt>
                <c:pt idx="16">
                  <c:v>268898.01931149699</c:v>
                </c:pt>
                <c:pt idx="17">
                  <c:v>294896.93768821284</c:v>
                </c:pt>
                <c:pt idx="18">
                  <c:v>320186.35485452972</c:v>
                </c:pt>
                <c:pt idx="19">
                  <c:v>344762.67917379737</c:v>
                </c:pt>
                <c:pt idx="20">
                  <c:v>368665.51499477401</c:v>
                </c:pt>
                <c:pt idx="21">
                  <c:v>391927.96165295877</c:v>
                </c:pt>
                <c:pt idx="22">
                  <c:v>414613.95130928233</c:v>
                </c:pt>
                <c:pt idx="23">
                  <c:v>436739.35806839354</c:v>
                </c:pt>
                <c:pt idx="24">
                  <c:v>458312.82767263427</c:v>
                </c:pt>
                <c:pt idx="25">
                  <c:v>479354.7420414649</c:v>
                </c:pt>
              </c:numCache>
            </c:numRef>
          </c:yVal>
          <c:smooth val="0"/>
        </c:ser>
        <c:ser>
          <c:idx val="5"/>
          <c:order val="4"/>
          <c:tx>
            <c:strRef>
              <c:f>'Results Summary'!$C$16</c:f>
              <c:strCache>
                <c:ptCount val="1"/>
                <c:pt idx="0">
                  <c:v>Viracon - VE1-55 - Low-E Clear </c:v>
                </c:pt>
              </c:strCache>
            </c:strRef>
          </c:tx>
          <c:spPr>
            <a:ln w="12700">
              <a:solidFill>
                <a:srgbClr val="800000"/>
              </a:solidFill>
              <a:prstDash val="solid"/>
            </a:ln>
          </c:spPr>
          <c:marker>
            <c:symbol val="none"/>
          </c:marker>
          <c:xVal>
            <c:numRef>
              <c:f>'Results Summary'!$BC$24:$CB$24</c:f>
              <c:numCache>
                <c:formatCode>General</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xVal>
          <c:yVal>
            <c:numRef>
              <c:f>'Results Summary'!$BC$29:$CB$29</c:f>
              <c:numCache>
                <c:formatCode>"$"#,##0</c:formatCode>
                <c:ptCount val="26"/>
                <c:pt idx="0">
                  <c:v>-115350</c:v>
                </c:pt>
                <c:pt idx="1">
                  <c:v>-75941.432989652501</c:v>
                </c:pt>
                <c:pt idx="2">
                  <c:v>-37213.728474037955</c:v>
                </c:pt>
                <c:pt idx="3">
                  <c:v>32.201771711697802</c:v>
                </c:pt>
                <c:pt idx="4">
                  <c:v>36110.664197006729</c:v>
                </c:pt>
                <c:pt idx="5">
                  <c:v>71375.480632761959</c:v>
                </c:pt>
                <c:pt idx="6">
                  <c:v>105891.19382653851</c:v>
                </c:pt>
                <c:pt idx="7">
                  <c:v>139552.93599637598</c:v>
                </c:pt>
                <c:pt idx="8">
                  <c:v>172255.88022423629</c:v>
                </c:pt>
                <c:pt idx="9">
                  <c:v>203988.11054950114</c:v>
                </c:pt>
                <c:pt idx="10">
                  <c:v>234929.85040102899</c:v>
                </c:pt>
                <c:pt idx="11">
                  <c:v>265168.17786823492</c:v>
                </c:pt>
                <c:pt idx="12">
                  <c:v>294588.15234478936</c:v>
                </c:pt>
                <c:pt idx="13">
                  <c:v>323016.15440130513</c:v>
                </c:pt>
                <c:pt idx="14">
                  <c:v>350431.68165529147</c:v>
                </c:pt>
                <c:pt idx="15">
                  <c:v>376996.92253214493</c:v>
                </c:pt>
                <c:pt idx="16">
                  <c:v>402793.57006381452</c:v>
                </c:pt>
                <c:pt idx="17">
                  <c:v>427901.52718704566</c:v>
                </c:pt>
                <c:pt idx="18">
                  <c:v>452373.6269821655</c:v>
                </c:pt>
                <c:pt idx="19">
                  <c:v>476203.71219829842</c:v>
                </c:pt>
                <c:pt idx="20">
                  <c:v>499445.61152068526</c:v>
                </c:pt>
                <c:pt idx="21">
                  <c:v>522125.07038274407</c:v>
                </c:pt>
                <c:pt idx="22">
                  <c:v>544265.18164540268</c:v>
                </c:pt>
                <c:pt idx="23">
                  <c:v>565912.79469887167</c:v>
                </c:pt>
                <c:pt idx="24">
                  <c:v>587106.12484776787</c:v>
                </c:pt>
                <c:pt idx="25">
                  <c:v>607855.71914120018</c:v>
                </c:pt>
              </c:numCache>
            </c:numRef>
          </c:yVal>
          <c:smooth val="0"/>
        </c:ser>
        <c:ser>
          <c:idx val="6"/>
          <c:order val="5"/>
          <c:tx>
            <c:strRef>
              <c:f>'Results Summary'!$C$17</c:f>
              <c:strCache>
                <c:ptCount val="1"/>
                <c:pt idx="0">
                  <c:v>Viracon - VE1-85 - Low-E Clear </c:v>
                </c:pt>
              </c:strCache>
            </c:strRef>
          </c:tx>
          <c:spPr>
            <a:ln w="12700">
              <a:solidFill>
                <a:srgbClr val="008080"/>
              </a:solidFill>
              <a:prstDash val="solid"/>
            </a:ln>
          </c:spPr>
          <c:marker>
            <c:symbol val="none"/>
          </c:marker>
          <c:xVal>
            <c:numRef>
              <c:f>'Results Summary'!$BC$24:$CB$24</c:f>
              <c:numCache>
                <c:formatCode>General</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xVal>
          <c:yVal>
            <c:numRef>
              <c:f>'Results Summary'!$BC$30:$CB$30</c:f>
              <c:numCache>
                <c:formatCode>"$"#,##0</c:formatCode>
                <c:ptCount val="26"/>
                <c:pt idx="0">
                  <c:v>-120030</c:v>
                </c:pt>
                <c:pt idx="1">
                  <c:v>-100665.12031119037</c:v>
                </c:pt>
                <c:pt idx="2">
                  <c:v>-81663.789588169195</c:v>
                </c:pt>
                <c:pt idx="3">
                  <c:v>-63368.40259882086</c:v>
                </c:pt>
                <c:pt idx="4">
                  <c:v>-45550.451392120682</c:v>
                </c:pt>
                <c:pt idx="5">
                  <c:v>-28034.092013349291</c:v>
                </c:pt>
                <c:pt idx="6">
                  <c:v>-10819.907420768403</c:v>
                </c:pt>
                <c:pt idx="7">
                  <c:v>6009.5723831737414</c:v>
                </c:pt>
                <c:pt idx="8">
                  <c:v>22401.841136219911</c:v>
                </c:pt>
                <c:pt idx="9">
                  <c:v>38334.958302393556</c:v>
                </c:pt>
                <c:pt idx="10">
                  <c:v>53901.889951245859</c:v>
                </c:pt>
                <c:pt idx="11">
                  <c:v>69150.337281462736</c:v>
                </c:pt>
                <c:pt idx="12">
                  <c:v>83994.021242370829</c:v>
                </c:pt>
                <c:pt idx="13">
                  <c:v>98331.416092918254</c:v>
                </c:pt>
                <c:pt idx="14">
                  <c:v>112162.97369970288</c:v>
                </c:pt>
                <c:pt idx="15">
                  <c:v>125575.70121431164</c:v>
                </c:pt>
                <c:pt idx="16">
                  <c:v>138617.23902089335</c:v>
                </c:pt>
                <c:pt idx="17">
                  <c:v>151339.01906143874</c:v>
                </c:pt>
                <c:pt idx="18">
                  <c:v>163757.81005615555</c:v>
                </c:pt>
                <c:pt idx="19">
                  <c:v>175869.44633406401</c:v>
                </c:pt>
                <c:pt idx="20">
                  <c:v>187707.26316250488</c:v>
                </c:pt>
                <c:pt idx="21">
                  <c:v>199281.88590716571</c:v>
                </c:pt>
                <c:pt idx="22">
                  <c:v>210589.98121473007</c:v>
                </c:pt>
                <c:pt idx="23">
                  <c:v>221667.54779438861</c:v>
                </c:pt>
                <c:pt idx="24">
                  <c:v>232545.56642834656</c:v>
                </c:pt>
                <c:pt idx="25">
                  <c:v>243225.82709573582</c:v>
                </c:pt>
              </c:numCache>
            </c:numRef>
          </c:yVal>
          <c:smooth val="0"/>
        </c:ser>
        <c:ser>
          <c:idx val="7"/>
          <c:order val="6"/>
          <c:tx>
            <c:strRef>
              <c:f>'Results Summary'!$C$18</c:f>
              <c:strCache>
                <c:ptCount val="1"/>
                <c:pt idx="0">
                  <c:v>Viracon - VE7-55 - Low-E Azurlite </c:v>
                </c:pt>
              </c:strCache>
            </c:strRef>
          </c:tx>
          <c:spPr>
            <a:ln w="12700">
              <a:solidFill>
                <a:srgbClr val="0000FF"/>
              </a:solidFill>
              <a:prstDash val="solid"/>
            </a:ln>
          </c:spPr>
          <c:marker>
            <c:symbol val="none"/>
          </c:marker>
          <c:xVal>
            <c:numRef>
              <c:f>'Results Summary'!$BC$24:$CB$24</c:f>
              <c:numCache>
                <c:formatCode>General</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xVal>
          <c:yVal>
            <c:numRef>
              <c:f>'Results Summary'!$BC$31:$CB$31</c:f>
              <c:numCache>
                <c:formatCode>"$"#,##0</c:formatCode>
                <c:ptCount val="26"/>
                <c:pt idx="0">
                  <c:v>-202170</c:v>
                </c:pt>
                <c:pt idx="1">
                  <c:v>-147653.33212780906</c:v>
                </c:pt>
                <c:pt idx="2">
                  <c:v>-94046.171128734713</c:v>
                </c:pt>
                <c:pt idx="3">
                  <c:v>-42513.635284778895</c:v>
                </c:pt>
                <c:pt idx="4">
                  <c:v>7296.3353746137582</c:v>
                </c:pt>
                <c:pt idx="5">
                  <c:v>55870.995281822514</c:v>
                </c:pt>
                <c:pt idx="6">
                  <c:v>103335.71516947076</c:v>
                </c:pt>
                <c:pt idx="7">
                  <c:v>149580.05669992417</c:v>
                </c:pt>
                <c:pt idx="8">
                  <c:v>194460.11767218728</c:v>
                </c:pt>
                <c:pt idx="9">
                  <c:v>237977.38441960793</c:v>
                </c:pt>
                <c:pt idx="10">
                  <c:v>280376.24979643803</c:v>
                </c:pt>
                <c:pt idx="11">
                  <c:v>321771.68724686373</c:v>
                </c:pt>
                <c:pt idx="12">
                  <c:v>362037.98264402337</c:v>
                </c:pt>
                <c:pt idx="13">
                  <c:v>400953.0673511941</c:v>
                </c:pt>
                <c:pt idx="14">
                  <c:v>438476.8186746547</c:v>
                </c:pt>
                <c:pt idx="15">
                  <c:v>474825.43681853544</c:v>
                </c:pt>
                <c:pt idx="16">
                  <c:v>510103.55733152758</c:v>
                </c:pt>
                <c:pt idx="17">
                  <c:v>544408.12069757655</c:v>
                </c:pt>
                <c:pt idx="18">
                  <c:v>577822.48495419323</c:v>
                </c:pt>
                <c:pt idx="19">
                  <c:v>610339.40604198165</c:v>
                </c:pt>
                <c:pt idx="20">
                  <c:v>642025.65754531324</c:v>
                </c:pt>
                <c:pt idx="21">
                  <c:v>672919.11799288914</c:v>
                </c:pt>
                <c:pt idx="22">
                  <c:v>703068.13502634689</c:v>
                </c:pt>
                <c:pt idx="23">
                  <c:v>732523.02013615333</c:v>
                </c:pt>
                <c:pt idx="24">
                  <c:v>761323.00678058714</c:v>
                </c:pt>
                <c:pt idx="25">
                  <c:v>789486.47581087053</c:v>
                </c:pt>
              </c:numCache>
            </c:numRef>
          </c:yVal>
          <c:smooth val="0"/>
        </c:ser>
        <c:ser>
          <c:idx val="8"/>
          <c:order val="7"/>
          <c:tx>
            <c:strRef>
              <c:f>'Results Summary'!$C$19</c:f>
              <c:strCache>
                <c:ptCount val="1"/>
                <c:pt idx="0">
                  <c:v>Viracon - VE7-85 - Low-E Azurlite </c:v>
                </c:pt>
              </c:strCache>
            </c:strRef>
          </c:tx>
          <c:spPr>
            <a:ln w="12700">
              <a:solidFill>
                <a:srgbClr val="00FF00"/>
              </a:solidFill>
              <a:prstDash val="solid"/>
            </a:ln>
          </c:spPr>
          <c:marker>
            <c:symbol val="none"/>
          </c:marker>
          <c:xVal>
            <c:numRef>
              <c:f>'Results Summary'!$BC$24:$CB$24</c:f>
              <c:numCache>
                <c:formatCode>General</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xVal>
          <c:yVal>
            <c:numRef>
              <c:f>'Results Summary'!$BC$32:$CB$32</c:f>
              <c:numCache>
                <c:formatCode>"$"#,##0</c:formatCode>
                <c:ptCount val="26"/>
                <c:pt idx="0">
                  <c:v>-191240</c:v>
                </c:pt>
                <c:pt idx="1">
                  <c:v>-146559.63997851219</c:v>
                </c:pt>
                <c:pt idx="2">
                  <c:v>-102640.38310816325</c:v>
                </c:pt>
                <c:pt idx="3">
                  <c:v>-60409.418339754688</c:v>
                </c:pt>
                <c:pt idx="4">
                  <c:v>-19538.095412875526</c:v>
                </c:pt>
                <c:pt idx="5">
                  <c:v>20373.998519320972</c:v>
                </c:pt>
                <c:pt idx="6">
                  <c:v>59412.121097688098</c:v>
                </c:pt>
                <c:pt idx="7">
                  <c:v>97468.970975461416</c:v>
                </c:pt>
                <c:pt idx="8">
                  <c:v>134426.07064635307</c:v>
                </c:pt>
                <c:pt idx="9">
                  <c:v>170275.92657746747</c:v>
                </c:pt>
                <c:pt idx="10">
                  <c:v>205221.22298181243</c:v>
                </c:pt>
                <c:pt idx="11">
                  <c:v>239358.84931353945</c:v>
                </c:pt>
                <c:pt idx="12">
                  <c:v>272569.63485804759</c:v>
                </c:pt>
                <c:pt idx="13">
                  <c:v>304662.79827135708</c:v>
                </c:pt>
                <c:pt idx="14">
                  <c:v>335611.15721285995</c:v>
                </c:pt>
                <c:pt idx="15">
                  <c:v>365595.86237267964</c:v>
                </c:pt>
                <c:pt idx="16">
                  <c:v>394706.73076131195</c:v>
                </c:pt>
                <c:pt idx="17">
                  <c:v>423029.80262909085</c:v>
                </c:pt>
                <c:pt idx="18">
                  <c:v>450628.41713368893</c:v>
                </c:pt>
                <c:pt idx="19">
                  <c:v>477496.01978220232</c:v>
                </c:pt>
                <c:pt idx="20">
                  <c:v>503691.06500393711</c:v>
                </c:pt>
                <c:pt idx="21">
                  <c:v>529243.49992774986</c:v>
                </c:pt>
                <c:pt idx="22">
                  <c:v>554184.99781480432</c:v>
                </c:pt>
                <c:pt idx="23">
                  <c:v>578563.82115737908</c:v>
                </c:pt>
                <c:pt idx="24">
                  <c:v>602418.73332712613</c:v>
                </c:pt>
                <c:pt idx="25">
                  <c:v>625762.96128124744</c:v>
                </c:pt>
              </c:numCache>
            </c:numRef>
          </c:yVal>
          <c:smooth val="0"/>
        </c:ser>
        <c:ser>
          <c:idx val="9"/>
          <c:order val="8"/>
          <c:tx>
            <c:strRef>
              <c:f>'Results Summary'!$C$20</c:f>
              <c:strCache>
                <c:ptCount val="1"/>
                <c:pt idx="0">
                  <c:v>PPG - SolarBan 2000 *</c:v>
                </c:pt>
              </c:strCache>
            </c:strRef>
          </c:tx>
          <c:spPr>
            <a:ln w="12700">
              <a:solidFill>
                <a:srgbClr val="FF0000"/>
              </a:solidFill>
              <a:prstDash val="solid"/>
            </a:ln>
          </c:spPr>
          <c:marker>
            <c:symbol val="none"/>
          </c:marker>
          <c:xVal>
            <c:numRef>
              <c:f>'Results Summary'!$BC$24:$CB$24</c:f>
              <c:numCache>
                <c:formatCode>General</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xVal>
          <c:yVal>
            <c:numRef>
              <c:f>'Results Summary'!$BC$33:$CB$33</c:f>
              <c:numCache>
                <c:formatCode>"$"#,##0</c:formatCode>
                <c:ptCount val="26"/>
                <c:pt idx="0">
                  <c:v>-170360</c:v>
                </c:pt>
                <c:pt idx="1">
                  <c:v>-117273.06128584675</c:v>
                </c:pt>
                <c:pt idx="2">
                  <c:v>-65067.353998453822</c:v>
                </c:pt>
                <c:pt idx="3">
                  <c:v>-14885.249042218784</c:v>
                </c:pt>
                <c:pt idx="4">
                  <c:v>33604.777391389478</c:v>
                </c:pt>
                <c:pt idx="5">
                  <c:v>80876.898991168011</c:v>
                </c:pt>
                <c:pt idx="6">
                  <c:v>127058.12792469189</c:v>
                </c:pt>
                <c:pt idx="7">
                  <c:v>172045.65323026851</c:v>
                </c:pt>
                <c:pt idx="8">
                  <c:v>215699.49857014231</c:v>
                </c:pt>
                <c:pt idx="9">
                  <c:v>258023.56619775575</c:v>
                </c:pt>
                <c:pt idx="10">
                  <c:v>299255.16711509973</c:v>
                </c:pt>
                <c:pt idx="11">
                  <c:v>339505.50984568615</c:v>
                </c:pt>
                <c:pt idx="12">
                  <c:v>378656.72501850035</c:v>
                </c:pt>
                <c:pt idx="13">
                  <c:v>416495.04201721214</c:v>
                </c:pt>
                <c:pt idx="14">
                  <c:v>452979.78384906705</c:v>
                </c:pt>
                <c:pt idx="15">
                  <c:v>488320.36514183227</c:v>
                </c:pt>
                <c:pt idx="16">
                  <c:v>522617.53306976892</c:v>
                </c:pt>
                <c:pt idx="17">
                  <c:v>555963.828638779</c:v>
                </c:pt>
                <c:pt idx="18">
                  <c:v>588441.82676992193</c:v>
                </c:pt>
                <c:pt idx="19">
                  <c:v>620044.64737990685</c:v>
                </c:pt>
                <c:pt idx="20">
                  <c:v>650836.26217280328</c:v>
                </c:pt>
                <c:pt idx="21">
                  <c:v>680853.86543994397</c:v>
                </c:pt>
                <c:pt idx="22">
                  <c:v>710146.77745993622</c:v>
                </c:pt>
                <c:pt idx="23">
                  <c:v>738762.00966728292</c:v>
                </c:pt>
                <c:pt idx="24">
                  <c:v>766735.90430855937</c:v>
                </c:pt>
                <c:pt idx="25">
                  <c:v>794086.87797825597</c:v>
                </c:pt>
              </c:numCache>
            </c:numRef>
          </c:yVal>
          <c:smooth val="0"/>
        </c:ser>
        <c:dLbls>
          <c:showLegendKey val="0"/>
          <c:showVal val="0"/>
          <c:showCatName val="0"/>
          <c:showSerName val="0"/>
          <c:showPercent val="0"/>
          <c:showBubbleSize val="0"/>
        </c:dLbls>
        <c:axId val="152851200"/>
        <c:axId val="152853120"/>
      </c:scatterChart>
      <c:valAx>
        <c:axId val="152851200"/>
        <c:scaling>
          <c:orientation val="minMax"/>
          <c:max val="25"/>
          <c:min val="0"/>
        </c:scaling>
        <c:delete val="0"/>
        <c:axPos val="b"/>
        <c:title>
          <c:tx>
            <c:rich>
              <a:bodyPr/>
              <a:lstStyle/>
              <a:p>
                <a:pPr>
                  <a:defRPr sz="975" b="1" i="0" u="none" strike="noStrike" baseline="0">
                    <a:solidFill>
                      <a:srgbClr val="000000"/>
                    </a:solidFill>
                    <a:latin typeface="Arial"/>
                    <a:ea typeface="Arial"/>
                    <a:cs typeface="Arial"/>
                  </a:defRPr>
                </a:pPr>
                <a:r>
                  <a:rPr lang="en-US"/>
                  <a:t>Years</a:t>
                </a:r>
              </a:p>
            </c:rich>
          </c:tx>
          <c:layout>
            <c:manualLayout>
              <c:xMode val="edge"/>
              <c:yMode val="edge"/>
              <c:x val="0.38148199993519327"/>
              <c:y val="0.9047640097619376"/>
            </c:manualLayout>
          </c:layout>
          <c:overlay val="0"/>
          <c:spPr>
            <a:noFill/>
            <a:ln w="25400">
              <a:noFill/>
            </a:ln>
          </c:spPr>
        </c:title>
        <c:numFmt formatCode="General" sourceLinked="1"/>
        <c:majorTickMark val="out"/>
        <c:minorTickMark val="none"/>
        <c:tickLblPos val="nextTo"/>
        <c:spPr>
          <a:ln w="25400">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52853120"/>
        <c:crosses val="autoZero"/>
        <c:crossBetween val="midCat"/>
        <c:majorUnit val="2"/>
      </c:valAx>
      <c:valAx>
        <c:axId val="152853120"/>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US"/>
                  <a:t>Cummulative LCS</a:t>
                </a:r>
              </a:p>
            </c:rich>
          </c:tx>
          <c:layout>
            <c:manualLayout>
              <c:xMode val="edge"/>
              <c:yMode val="edge"/>
              <c:x val="2.2222222222222223E-2"/>
              <c:y val="0.37594063899907249"/>
            </c:manualLayout>
          </c:layout>
          <c:overlay val="0"/>
          <c:spPr>
            <a:noFill/>
            <a:ln w="25400">
              <a:noFill/>
            </a:ln>
          </c:spPr>
        </c:title>
        <c:numFmt formatCode="&quot;$&quot;#,##0"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52851200"/>
        <c:crosses val="autoZero"/>
        <c:crossBetween val="midCat"/>
      </c:valAx>
      <c:spPr>
        <a:solidFill>
          <a:srgbClr val="C0C0C0"/>
        </a:solidFill>
        <a:ln w="12700">
          <a:solidFill>
            <a:srgbClr val="808080"/>
          </a:solidFill>
          <a:prstDash val="solid"/>
        </a:ln>
      </c:spPr>
    </c:plotArea>
    <c:legend>
      <c:legendPos val="r"/>
      <c:layout>
        <c:manualLayout>
          <c:xMode val="edge"/>
          <c:yMode val="edge"/>
          <c:x val="0.66419830854476525"/>
          <c:y val="0.21553937336780268"/>
          <c:w val="0.31481520365509863"/>
          <c:h val="0.48621685447213836"/>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3</xdr:col>
      <xdr:colOff>533400</xdr:colOff>
      <xdr:row>32</xdr:row>
      <xdr:rowOff>104775</xdr:rowOff>
    </xdr:from>
    <xdr:to>
      <xdr:col>11</xdr:col>
      <xdr:colOff>95250</xdr:colOff>
      <xdr:row>52</xdr:row>
      <xdr:rowOff>57150</xdr:rowOff>
    </xdr:to>
    <xdr:pic>
      <xdr:nvPicPr>
        <xdr:cNvPr id="1116" name="Picture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2675" y="6553200"/>
          <a:ext cx="4876800" cy="3762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1</xdr:row>
      <xdr:rowOff>9525</xdr:rowOff>
    </xdr:from>
    <xdr:to>
      <xdr:col>12</xdr:col>
      <xdr:colOff>504825</xdr:colOff>
      <xdr:row>24</xdr:row>
      <xdr:rowOff>85725</xdr:rowOff>
    </xdr:to>
    <xdr:graphicFrame macro="">
      <xdr:nvGraphicFramePr>
        <xdr:cNvPr id="206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0.72395</cdr:x>
      <cdr:y>0.73303</cdr:y>
    </cdr:from>
    <cdr:to>
      <cdr:x>0.93853</cdr:x>
      <cdr:y>0.82297</cdr:y>
    </cdr:to>
    <cdr:sp macro="" textlink="">
      <cdr:nvSpPr>
        <cdr:cNvPr id="28673" name="Text Box 1"/>
        <cdr:cNvSpPr txBox="1">
          <a:spLocks xmlns:a="http://schemas.openxmlformats.org/drawingml/2006/main" noChangeArrowheads="1"/>
        </cdr:cNvSpPr>
      </cdr:nvSpPr>
      <cdr:spPr bwMode="auto">
        <a:xfrm xmlns:a="http://schemas.openxmlformats.org/drawingml/2006/main">
          <a:off x="5595557" y="2796000"/>
          <a:ext cx="1657515" cy="34268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n-US" sz="975" b="0" i="0" u="none" strike="noStrike" baseline="0">
              <a:solidFill>
                <a:srgbClr val="000000"/>
              </a:solidFill>
              <a:latin typeface="Arial"/>
              <a:cs typeface="Arial"/>
            </a:rPr>
            <a:t> *  Life-Cycle Cost Choice</a:t>
          </a:r>
        </a:p>
        <a:p xmlns:a="http://schemas.openxmlformats.org/drawingml/2006/main">
          <a:pPr algn="l" rtl="0">
            <a:defRPr sz="1000"/>
          </a:pPr>
          <a:r>
            <a:rPr lang="en-US" sz="975" b="0" i="0" u="none" strike="noStrike" baseline="0">
              <a:solidFill>
                <a:srgbClr val="000000"/>
              </a:solidFill>
              <a:latin typeface="Arial"/>
              <a:cs typeface="Arial"/>
            </a:rPr>
            <a:t>** Simple Payback Choice</a:t>
          </a: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5</xdr:col>
      <xdr:colOff>28575</xdr:colOff>
      <xdr:row>4</xdr:row>
      <xdr:rowOff>57150</xdr:rowOff>
    </xdr:from>
    <xdr:to>
      <xdr:col>8</xdr:col>
      <xdr:colOff>95250</xdr:colOff>
      <xdr:row>6</xdr:row>
      <xdr:rowOff>142875</xdr:rowOff>
    </xdr:to>
    <xdr:pic>
      <xdr:nvPicPr>
        <xdr:cNvPr id="3115"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2025" y="923925"/>
          <a:ext cx="1895475" cy="4286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57150</xdr:colOff>
      <xdr:row>42</xdr:row>
      <xdr:rowOff>47625</xdr:rowOff>
    </xdr:from>
    <xdr:to>
      <xdr:col>2</xdr:col>
      <xdr:colOff>819150</xdr:colOff>
      <xdr:row>44</xdr:row>
      <xdr:rowOff>152400</xdr:rowOff>
    </xdr:to>
    <xdr:pic>
      <xdr:nvPicPr>
        <xdr:cNvPr id="3116"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25" y="7086600"/>
          <a:ext cx="1895475" cy="4286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28575</xdr:colOff>
      <xdr:row>5</xdr:row>
      <xdr:rowOff>38100</xdr:rowOff>
    </xdr:from>
    <xdr:to>
      <xdr:col>8</xdr:col>
      <xdr:colOff>295275</xdr:colOff>
      <xdr:row>8</xdr:row>
      <xdr:rowOff>0</xdr:rowOff>
    </xdr:to>
    <xdr:pic>
      <xdr:nvPicPr>
        <xdr:cNvPr id="4133"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143000"/>
          <a:ext cx="2095500" cy="4667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104775</xdr:colOff>
      <xdr:row>43</xdr:row>
      <xdr:rowOff>28575</xdr:rowOff>
    </xdr:from>
    <xdr:to>
      <xdr:col>2</xdr:col>
      <xdr:colOff>1057275</xdr:colOff>
      <xdr:row>46</xdr:row>
      <xdr:rowOff>9525</xdr:rowOff>
    </xdr:to>
    <xdr:pic>
      <xdr:nvPicPr>
        <xdr:cNvPr id="4134"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47775" y="7305675"/>
          <a:ext cx="2095500" cy="4667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9525</xdr:colOff>
      <xdr:row>7</xdr:row>
      <xdr:rowOff>9525</xdr:rowOff>
    </xdr:from>
    <xdr:to>
      <xdr:col>17</xdr:col>
      <xdr:colOff>400050</xdr:colOff>
      <xdr:row>10</xdr:row>
      <xdr:rowOff>28575</xdr:rowOff>
    </xdr:to>
    <xdr:pic>
      <xdr:nvPicPr>
        <xdr:cNvPr id="518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1476375"/>
          <a:ext cx="3095625" cy="504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13</xdr:col>
      <xdr:colOff>19050</xdr:colOff>
      <xdr:row>13</xdr:row>
      <xdr:rowOff>66675</xdr:rowOff>
    </xdr:from>
    <xdr:to>
      <xdr:col>14</xdr:col>
      <xdr:colOff>114300</xdr:colOff>
      <xdr:row>14</xdr:row>
      <xdr:rowOff>104775</xdr:rowOff>
    </xdr:to>
    <xdr:pic>
      <xdr:nvPicPr>
        <xdr:cNvPr id="5185"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67425" y="2505075"/>
          <a:ext cx="771525"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8</xdr:col>
      <xdr:colOff>247650</xdr:colOff>
      <xdr:row>40</xdr:row>
      <xdr:rowOff>152400</xdr:rowOff>
    </xdr:from>
    <xdr:to>
      <xdr:col>10</xdr:col>
      <xdr:colOff>85725</xdr:colOff>
      <xdr:row>42</xdr:row>
      <xdr:rowOff>28575</xdr:rowOff>
    </xdr:to>
    <xdr:pic>
      <xdr:nvPicPr>
        <xdr:cNvPr id="5186"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19575" y="6981825"/>
          <a:ext cx="771525"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0</xdr:col>
      <xdr:colOff>200025</xdr:colOff>
      <xdr:row>40</xdr:row>
      <xdr:rowOff>47625</xdr:rowOff>
    </xdr:from>
    <xdr:to>
      <xdr:col>6</xdr:col>
      <xdr:colOff>257175</xdr:colOff>
      <xdr:row>43</xdr:row>
      <xdr:rowOff>66675</xdr:rowOff>
    </xdr:to>
    <xdr:pic>
      <xdr:nvPicPr>
        <xdr:cNvPr id="5187" name="Picture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0025" y="6877050"/>
          <a:ext cx="3095625" cy="504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4.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5.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6.xml"/><Relationship Id="rId1" Type="http://schemas.openxmlformats.org/officeDocument/2006/relationships/printerSettings" Target="../printerSettings/printerSettings18.bin"/><Relationship Id="rId4" Type="http://schemas.openxmlformats.org/officeDocument/2006/relationships/comments" Target="../comments15.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S39"/>
  <sheetViews>
    <sheetView showGridLines="0" tabSelected="1" zoomScale="80" workbookViewId="0"/>
  </sheetViews>
  <sheetFormatPr defaultRowHeight="15" x14ac:dyDescent="0.2"/>
  <cols>
    <col min="1" max="1" width="9.140625" style="74"/>
    <col min="2" max="2" width="9.42578125" style="74" customWidth="1"/>
    <col min="3" max="4" width="8.7109375" style="74" customWidth="1"/>
    <col min="5" max="5" width="9.7109375" style="74" customWidth="1"/>
    <col min="6" max="6" width="10.140625" style="74" bestFit="1" customWidth="1"/>
    <col min="7" max="7" width="9.140625" style="119"/>
    <col min="8" max="8" width="11" style="129" bestFit="1" customWidth="1"/>
    <col min="9" max="9" width="9.28515625" style="74" customWidth="1"/>
    <col min="10" max="10" width="11.28515625" style="74" customWidth="1"/>
    <col min="11" max="11" width="10.42578125" style="74" customWidth="1"/>
    <col min="12" max="12" width="9.42578125" style="74" customWidth="1"/>
    <col min="13" max="13" width="9.5703125" style="74" customWidth="1"/>
    <col min="14" max="14" width="10.42578125" style="74" customWidth="1"/>
    <col min="15" max="15" width="10" style="74" customWidth="1"/>
    <col min="16" max="17" width="9.140625" style="74"/>
    <col min="18" max="18" width="9.140625" style="132"/>
    <col min="19" max="19" width="10.28515625" style="74" customWidth="1"/>
    <col min="20" max="16384" width="9.140625" style="74"/>
  </cols>
  <sheetData>
    <row r="1" spans="1:19" ht="18.75" x14ac:dyDescent="0.3">
      <c r="F1" s="115"/>
      <c r="G1" s="115"/>
      <c r="H1" s="116" t="s">
        <v>0</v>
      </c>
      <c r="I1" s="115"/>
      <c r="J1" s="115"/>
      <c r="K1" s="115"/>
      <c r="L1" s="115"/>
    </row>
    <row r="2" spans="1:19" ht="18.75" x14ac:dyDescent="0.3">
      <c r="F2" s="115"/>
      <c r="G2" s="115"/>
      <c r="H2" s="117" t="str">
        <f>Copyright!F2</f>
        <v>updated: April 2016</v>
      </c>
      <c r="I2" s="115"/>
      <c r="J2" s="115"/>
      <c r="K2" s="115"/>
      <c r="L2" s="115"/>
    </row>
    <row r="3" spans="1:19" ht="18.75" x14ac:dyDescent="0.3">
      <c r="F3" s="115"/>
      <c r="G3" s="115"/>
      <c r="H3" s="116" t="str">
        <f>Copyright!F3</f>
        <v>by M.S. Addison and Associates, Tempe, AZ   marlin.addison@doe2.com</v>
      </c>
      <c r="I3" s="115"/>
      <c r="J3" s="115"/>
      <c r="K3" s="115"/>
      <c r="L3" s="115"/>
    </row>
    <row r="4" spans="1:19" x14ac:dyDescent="0.2">
      <c r="F4" s="118"/>
      <c r="G4" s="118"/>
      <c r="H4" s="73" t="s">
        <v>1</v>
      </c>
      <c r="I4" s="118"/>
      <c r="J4" s="118"/>
      <c r="K4" s="118"/>
      <c r="L4" s="118"/>
    </row>
    <row r="5" spans="1:19" x14ac:dyDescent="0.2">
      <c r="H5" s="79" t="s">
        <v>147</v>
      </c>
    </row>
    <row r="6" spans="1:19" x14ac:dyDescent="0.2">
      <c r="H6" s="79" t="s">
        <v>150</v>
      </c>
      <c r="R6" s="103"/>
      <c r="S6" s="76" t="s">
        <v>197</v>
      </c>
    </row>
    <row r="7" spans="1:19" s="120" customFormat="1" x14ac:dyDescent="0.2">
      <c r="B7" s="120" t="s">
        <v>256</v>
      </c>
      <c r="E7" s="74"/>
      <c r="F7" s="74"/>
      <c r="G7" s="74"/>
      <c r="H7" s="74"/>
      <c r="I7" s="74"/>
      <c r="J7" s="74"/>
      <c r="K7" s="74"/>
      <c r="L7" s="74"/>
      <c r="M7" s="74"/>
      <c r="R7" s="103" t="s">
        <v>187</v>
      </c>
      <c r="S7" s="76" t="s">
        <v>198</v>
      </c>
    </row>
    <row r="8" spans="1:19" s="120" customFormat="1" x14ac:dyDescent="0.2">
      <c r="F8" s="75"/>
      <c r="G8" s="75"/>
      <c r="H8" s="134" t="s">
        <v>2</v>
      </c>
      <c r="I8" s="121"/>
      <c r="K8" s="122" t="str">
        <f>"FY "&amp;H10&amp;" Federal Discount Rates:"</f>
        <v>FY 2015 Federal Discount Rates:</v>
      </c>
      <c r="L8" s="75"/>
      <c r="M8" s="75"/>
      <c r="P8" s="123"/>
      <c r="R8" s="132">
        <f>LCC0!A16</f>
        <v>1</v>
      </c>
      <c r="S8" s="319">
        <f>IF(R8&lt;&gt;"",1,"")</f>
        <v>1</v>
      </c>
    </row>
    <row r="9" spans="1:19" ht="15.75" x14ac:dyDescent="0.25">
      <c r="E9" s="76"/>
      <c r="F9" s="76"/>
      <c r="G9" s="76"/>
      <c r="H9" s="76"/>
      <c r="I9" s="76"/>
      <c r="K9" s="76"/>
      <c r="M9" s="72" t="s">
        <v>162</v>
      </c>
      <c r="N9" s="72" t="s">
        <v>163</v>
      </c>
      <c r="O9" s="124"/>
      <c r="R9" s="132">
        <f>LCC0!A17</f>
        <v>2</v>
      </c>
      <c r="S9" s="319">
        <f>IF(R9&lt;&gt;"",S8,"")</f>
        <v>1</v>
      </c>
    </row>
    <row r="10" spans="1:19" ht="15.75" x14ac:dyDescent="0.25">
      <c r="E10" s="76"/>
      <c r="F10" s="76"/>
      <c r="G10" s="125" t="s">
        <v>3</v>
      </c>
      <c r="H10" s="318">
        <v>2015</v>
      </c>
      <c r="K10" s="76"/>
      <c r="L10" s="125" t="s">
        <v>4</v>
      </c>
      <c r="M10" s="315">
        <v>0.03</v>
      </c>
      <c r="N10" s="315">
        <f t="shared" ref="N10:N15" si="0">((1+M10)*(1+$O$11))-1</f>
        <v>4.4420000000000126E-2</v>
      </c>
      <c r="O10" s="103"/>
      <c r="R10" s="132">
        <f>LCC0!A18</f>
        <v>3</v>
      </c>
      <c r="S10" s="319">
        <f t="shared" ref="S10:S32" si="1">IF(R10&lt;&gt;"",S9,"")</f>
        <v>1</v>
      </c>
    </row>
    <row r="11" spans="1:19" x14ac:dyDescent="0.2">
      <c r="E11" s="76"/>
      <c r="F11" s="76"/>
      <c r="G11" s="125"/>
      <c r="H11" s="103"/>
      <c r="I11" s="103"/>
      <c r="K11" s="76"/>
      <c r="L11" s="125" t="s">
        <v>157</v>
      </c>
      <c r="M11" s="315">
        <v>0</v>
      </c>
      <c r="N11" s="315">
        <f t="shared" si="0"/>
        <v>1.4000000000000012E-2</v>
      </c>
      <c r="O11" s="103">
        <v>1.4E-2</v>
      </c>
      <c r="R11" s="132">
        <f>LCC0!A19</f>
        <v>4</v>
      </c>
      <c r="S11" s="319">
        <f t="shared" si="1"/>
        <v>1</v>
      </c>
    </row>
    <row r="12" spans="1:19" ht="15.75" x14ac:dyDescent="0.25">
      <c r="A12" s="114">
        <v>4</v>
      </c>
      <c r="E12" s="76"/>
      <c r="F12" s="76"/>
      <c r="G12" s="125" t="s">
        <v>204</v>
      </c>
      <c r="H12" s="318">
        <v>2015</v>
      </c>
      <c r="K12" s="76"/>
      <c r="L12" s="125" t="s">
        <v>158</v>
      </c>
      <c r="M12" s="315">
        <v>4.0000000000000001E-3</v>
      </c>
      <c r="N12" s="315">
        <f t="shared" si="0"/>
        <v>1.8056000000000072E-2</v>
      </c>
      <c r="O12" s="103"/>
      <c r="R12" s="132">
        <f>LCC0!A20</f>
        <v>5</v>
      </c>
      <c r="S12" s="319">
        <f t="shared" si="1"/>
        <v>1</v>
      </c>
    </row>
    <row r="13" spans="1:19" ht="15.75" x14ac:dyDescent="0.25">
      <c r="A13" s="114">
        <v>4</v>
      </c>
      <c r="E13" s="76"/>
      <c r="F13" s="76"/>
      <c r="G13" s="125" t="s">
        <v>205</v>
      </c>
      <c r="H13" s="54">
        <v>2015</v>
      </c>
      <c r="I13" s="126" t="str">
        <f>IF(H13&gt;H10+5,"Year must not exceed "&amp;H10+5,IF(H13&lt;H10,"Year must be =&gt; "&amp;H10,""))</f>
        <v/>
      </c>
      <c r="K13" s="76"/>
      <c r="L13" s="125" t="s">
        <v>159</v>
      </c>
      <c r="M13" s="315">
        <v>8.0000000000000002E-3</v>
      </c>
      <c r="N13" s="315">
        <f t="shared" si="0"/>
        <v>2.211199999999991E-2</v>
      </c>
      <c r="O13" s="103"/>
      <c r="R13" s="132">
        <f>LCC0!A21</f>
        <v>6</v>
      </c>
      <c r="S13" s="319">
        <f t="shared" si="1"/>
        <v>1</v>
      </c>
    </row>
    <row r="14" spans="1:19" ht="15.75" x14ac:dyDescent="0.25">
      <c r="E14" s="76"/>
      <c r="F14" s="127" t="str">
        <f>IF(DATE(H13,A13,1)&lt;DATE(H10,4,1),"Month / Year must be =&gt; 4 / "&amp;H10,"")</f>
        <v/>
      </c>
      <c r="G14" s="128"/>
      <c r="H14" s="104"/>
      <c r="K14" s="76"/>
      <c r="L14" s="125" t="s">
        <v>160</v>
      </c>
      <c r="M14" s="315">
        <v>1.2999999999999999E-2</v>
      </c>
      <c r="N14" s="315">
        <f t="shared" si="0"/>
        <v>2.7181999999999817E-2</v>
      </c>
      <c r="O14" s="103"/>
      <c r="R14" s="132">
        <f>LCC0!A22</f>
        <v>7</v>
      </c>
      <c r="S14" s="319">
        <f t="shared" si="1"/>
        <v>1</v>
      </c>
    </row>
    <row r="15" spans="1:19" ht="15.75" x14ac:dyDescent="0.25">
      <c r="E15" s="76"/>
      <c r="G15" s="128" t="s">
        <v>253</v>
      </c>
      <c r="H15" s="55">
        <v>0.03</v>
      </c>
      <c r="K15" s="76"/>
      <c r="L15" s="125" t="s">
        <v>227</v>
      </c>
      <c r="M15" s="315">
        <v>2.1000000000000001E-2</v>
      </c>
      <c r="N15" s="315">
        <f t="shared" si="0"/>
        <v>3.5293999999999937E-2</v>
      </c>
      <c r="R15" s="132">
        <f>LCC0!A23</f>
        <v>8</v>
      </c>
      <c r="S15" s="319">
        <f t="shared" si="1"/>
        <v>1</v>
      </c>
    </row>
    <row r="16" spans="1:19" ht="15.75" x14ac:dyDescent="0.25">
      <c r="E16" s="76"/>
      <c r="F16" s="76"/>
      <c r="G16" s="128" t="s">
        <v>252</v>
      </c>
      <c r="H16" s="55">
        <v>0.03</v>
      </c>
      <c r="I16" s="76"/>
      <c r="L16" s="125" t="s">
        <v>161</v>
      </c>
      <c r="M16" s="315">
        <v>2.3E-2</v>
      </c>
      <c r="N16" s="315">
        <f>((1+M16)*(1+$O$16))-1</f>
        <v>4.2000000000000037E-2</v>
      </c>
      <c r="O16" s="103">
        <v>1.8572825024438092E-2</v>
      </c>
      <c r="R16" s="132">
        <f>LCC0!A24</f>
        <v>9</v>
      </c>
      <c r="S16" s="319">
        <f t="shared" si="1"/>
        <v>1</v>
      </c>
    </row>
    <row r="17" spans="4:19" ht="15.75" x14ac:dyDescent="0.25">
      <c r="E17" s="76"/>
      <c r="F17" s="76"/>
      <c r="I17" s="130" t="str">
        <f>IF(H19&gt;25,"Adjust the # of analysis yrs to yield no more than 25 years of service","")</f>
        <v/>
      </c>
      <c r="K17" s="121" t="str">
        <f>"* ""nominal"" assumes "&amp;ROUND(M21*100,2)&amp;"% effective general inflation"</f>
        <v>* "nominal" assumes 0.1% effective general inflation</v>
      </c>
      <c r="O17" s="103"/>
      <c r="R17" s="132">
        <f>LCC0!A25</f>
        <v>10</v>
      </c>
      <c r="S17" s="319">
        <f t="shared" si="1"/>
        <v>1</v>
      </c>
    </row>
    <row r="18" spans="4:19" ht="15.75" x14ac:dyDescent="0.25">
      <c r="E18" s="76"/>
      <c r="F18" s="76"/>
      <c r="G18" s="125" t="s">
        <v>202</v>
      </c>
      <c r="H18" s="54">
        <v>25</v>
      </c>
      <c r="I18" s="76"/>
      <c r="R18" s="132">
        <f>LCC0!A26</f>
        <v>11</v>
      </c>
      <c r="S18" s="319">
        <f t="shared" si="1"/>
        <v>1</v>
      </c>
    </row>
    <row r="19" spans="4:19" x14ac:dyDescent="0.2">
      <c r="E19" s="76"/>
      <c r="F19" s="76"/>
      <c r="G19" s="131" t="s">
        <v>203</v>
      </c>
      <c r="H19" s="316">
        <f>$H$18-(DAYS360(DATE('General Data'!H12,'General Data'!A12,1),DATE('General Data'!H13,'General Data'!A13,1))/360)</f>
        <v>25</v>
      </c>
      <c r="I19" s="76"/>
      <c r="K19" s="122" t="s">
        <v>169</v>
      </c>
      <c r="R19" s="132">
        <f>LCC0!A27</f>
        <v>12</v>
      </c>
      <c r="S19" s="319">
        <f t="shared" si="1"/>
        <v>1</v>
      </c>
    </row>
    <row r="20" spans="4:19" ht="15.75" x14ac:dyDescent="0.25">
      <c r="E20" s="76"/>
      <c r="F20" s="76"/>
      <c r="G20" s="125"/>
      <c r="H20" s="77"/>
      <c r="I20" s="133" t="str">
        <f>IF('General Data'!$H$21=1,"(Northeast)",IF('General Data'!$H$21=2,"(Midwest)",IF('General Data'!$H$21=3,"(South)",IF('General Data'!$H$21=4,"(West)",IF('General Data'!$H$21=5,"(United States Average)","ERROR, enter a number 1 through 5")))))</f>
        <v>(West)</v>
      </c>
      <c r="L20" s="134" t="s">
        <v>167</v>
      </c>
      <c r="M20" s="67">
        <v>3.1029999999999999E-2</v>
      </c>
      <c r="N20" s="135" t="s">
        <v>166</v>
      </c>
      <c r="R20" s="132">
        <f>LCC0!A28</f>
        <v>13</v>
      </c>
      <c r="S20" s="319">
        <f t="shared" si="1"/>
        <v>1</v>
      </c>
    </row>
    <row r="21" spans="4:19" ht="15.75" x14ac:dyDescent="0.25">
      <c r="E21" s="76"/>
      <c r="F21" s="76"/>
      <c r="G21" s="125" t="s">
        <v>5</v>
      </c>
      <c r="H21" s="54">
        <v>4</v>
      </c>
      <c r="I21" s="76"/>
      <c r="J21" s="76"/>
      <c r="M21" s="108">
        <v>1E-3</v>
      </c>
      <c r="N21" s="135" t="s">
        <v>164</v>
      </c>
      <c r="R21" s="132">
        <f>LCC0!A29</f>
        <v>14</v>
      </c>
      <c r="S21" s="319">
        <f t="shared" si="1"/>
        <v>1</v>
      </c>
    </row>
    <row r="22" spans="4:19" ht="16.5" customHeight="1" x14ac:dyDescent="0.25">
      <c r="E22" s="76"/>
      <c r="F22" s="76"/>
      <c r="G22" s="125" t="s">
        <v>6</v>
      </c>
      <c r="H22" s="77"/>
      <c r="I22" s="76"/>
      <c r="J22" s="76"/>
      <c r="M22" s="317">
        <f>((1+M20)/(1+M21))-1</f>
        <v>3.0000000000000027E-2</v>
      </c>
      <c r="N22" s="135" t="s">
        <v>165</v>
      </c>
      <c r="R22" s="132">
        <f>LCC0!A30</f>
        <v>15</v>
      </c>
      <c r="S22" s="319">
        <f t="shared" si="1"/>
        <v>1</v>
      </c>
    </row>
    <row r="23" spans="4:19" ht="15.75" x14ac:dyDescent="0.25">
      <c r="E23" s="76"/>
      <c r="F23" s="76"/>
      <c r="G23" s="76"/>
      <c r="H23" s="77"/>
      <c r="I23" s="136" t="str">
        <f>IF('General Data'!$H$24=1,"(Residential)",IF('General Data'!$H$24=2,"(Commercial)",IF('General Data'!$H$24=3,"(Industrial)","ERROR, enter an integer 1, 2, or 3")))</f>
        <v>(Commercial)</v>
      </c>
      <c r="J23" s="76"/>
      <c r="R23" s="132">
        <f>LCC0!A31</f>
        <v>16</v>
      </c>
      <c r="S23" s="319">
        <f t="shared" si="1"/>
        <v>1</v>
      </c>
    </row>
    <row r="24" spans="4:19" ht="15.75" x14ac:dyDescent="0.25">
      <c r="E24" s="76"/>
      <c r="F24" s="76"/>
      <c r="G24" s="125" t="s">
        <v>7</v>
      </c>
      <c r="H24" s="54">
        <v>2</v>
      </c>
      <c r="I24" s="76"/>
      <c r="J24" s="76"/>
      <c r="L24" s="134" t="s">
        <v>168</v>
      </c>
      <c r="M24" s="67">
        <v>0.03</v>
      </c>
      <c r="N24" s="135" t="s">
        <v>165</v>
      </c>
      <c r="R24" s="132">
        <f>LCC0!A32</f>
        <v>17</v>
      </c>
      <c r="S24" s="319">
        <f t="shared" si="1"/>
        <v>1</v>
      </c>
    </row>
    <row r="25" spans="4:19" ht="15.75" x14ac:dyDescent="0.25">
      <c r="E25" s="76"/>
      <c r="F25" s="76"/>
      <c r="G25" s="125" t="s">
        <v>8</v>
      </c>
      <c r="H25" s="77"/>
      <c r="I25" s="76"/>
      <c r="J25" s="76"/>
      <c r="M25" s="108">
        <v>1E-3</v>
      </c>
      <c r="N25" s="135" t="s">
        <v>164</v>
      </c>
      <c r="R25" s="132">
        <f>LCC0!A33</f>
        <v>18</v>
      </c>
      <c r="S25" s="319">
        <f t="shared" si="1"/>
        <v>1</v>
      </c>
    </row>
    <row r="26" spans="4:19" ht="15.75" x14ac:dyDescent="0.25">
      <c r="D26" s="137" t="str">
        <f>IF(H24=1,IF(H27=3,1,IF(H27=5,2,"")),IF(H24=2,IF(H27=2,3,""),IF(H24=3,IF(H27=2,4,""))))</f>
        <v/>
      </c>
      <c r="F26" s="76"/>
      <c r="G26" s="125"/>
      <c r="H26" s="77"/>
      <c r="I26" s="133" t="str">
        <f>IF(D26="",IF('General Data'!$H$27=1,"(Natural Gas)",IF('General Data'!$H$27=2,"(LPG)",IF('General Data'!$H$27=3,"(Distilate Fuel Oil)",IF('General Data'!$H$27=4,"(Residual Fuel Oil)",IF('General Data'!$H$27=5,"(Coal)",IF('General Data'!$H$27=0,"(None)","ERROR")))))),"ERROR")</f>
        <v>(Natural Gas)</v>
      </c>
      <c r="J26" s="76"/>
      <c r="M26" s="317">
        <f>((1+M24)*(1+M25))-1</f>
        <v>3.1029999999999891E-2</v>
      </c>
      <c r="N26" s="135" t="s">
        <v>166</v>
      </c>
      <c r="R26" s="132">
        <f>LCC0!A34</f>
        <v>19</v>
      </c>
      <c r="S26" s="319">
        <f t="shared" si="1"/>
        <v>1</v>
      </c>
    </row>
    <row r="27" spans="4:19" ht="15.75" x14ac:dyDescent="0.25">
      <c r="E27" s="76"/>
      <c r="F27" s="76"/>
      <c r="G27" s="125" t="s">
        <v>9</v>
      </c>
      <c r="H27" s="54">
        <v>1</v>
      </c>
      <c r="I27" s="130" t="str">
        <f>IF(I26="ERROR","Enter an integer: 0 - 5","")</f>
        <v/>
      </c>
      <c r="R27" s="132">
        <f>LCC0!A35</f>
        <v>20</v>
      </c>
      <c r="S27" s="319">
        <f t="shared" si="1"/>
        <v>1</v>
      </c>
    </row>
    <row r="28" spans="4:19" ht="15.75" x14ac:dyDescent="0.25">
      <c r="G28" s="125" t="s">
        <v>142</v>
      </c>
      <c r="H28" s="77"/>
      <c r="I28" s="130" t="str">
        <f>IF(D26=1,"Dist Oil is not available in Residential sector",IF(D26=2,"Coal is not available in Residential sector",IF(D26=3,"LPG is not available in Commercial sector",IF(D26=4,"LPG is not available in Industrial sector",""))))</f>
        <v/>
      </c>
      <c r="R28" s="132">
        <f>LCC0!A36</f>
        <v>21</v>
      </c>
      <c r="S28" s="319">
        <f t="shared" si="1"/>
        <v>1</v>
      </c>
    </row>
    <row r="29" spans="4:19" ht="15.75" x14ac:dyDescent="0.25">
      <c r="G29" s="138"/>
      <c r="H29" s="105" t="str">
        <f>IF(ISBLANK(H30),"",IF(ISNUMBER(H30),"","Remove all non-numeric and blank characters from the "&amp;G30&amp;" input field"))</f>
        <v/>
      </c>
      <c r="I29" s="121"/>
      <c r="N29" s="66"/>
      <c r="O29" s="135"/>
      <c r="R29" s="132">
        <f>LCC0!A37</f>
        <v>22</v>
      </c>
      <c r="S29" s="319">
        <f t="shared" si="1"/>
        <v>1</v>
      </c>
    </row>
    <row r="30" spans="4:19" ht="15.75" x14ac:dyDescent="0.25">
      <c r="G30" s="125" t="s">
        <v>10</v>
      </c>
      <c r="H30" s="68"/>
      <c r="I30" s="121" t="s">
        <v>145</v>
      </c>
      <c r="R30" s="132">
        <f>LCC0!A38</f>
        <v>23</v>
      </c>
      <c r="S30" s="319">
        <f t="shared" si="1"/>
        <v>1</v>
      </c>
    </row>
    <row r="31" spans="4:19" ht="15.75" x14ac:dyDescent="0.25">
      <c r="G31" s="125" t="str">
        <f>IF(H27=0,"","Uniform "&amp;IF('General Data'!$H$27=1,"Natural Gas",IF('General Data'!$H$27=2,"LPG",IF('General Data'!$H$27=3,"Distilate Fuel Oil",IF('General Data'!$H$27=4,"Residual Fuel Oil",IF('General Data'!$H$27=5,"Coal",IF('General Data'!$H$27=0,"None","error"))))))&amp;" Price Escalation Rate")</f>
        <v>Uniform Natural Gas Price Escalation Rate</v>
      </c>
      <c r="H31" s="68"/>
      <c r="I31" s="121" t="s">
        <v>145</v>
      </c>
      <c r="R31" s="132">
        <f>LCC0!A39</f>
        <v>24</v>
      </c>
      <c r="S31" s="319">
        <f t="shared" si="1"/>
        <v>1</v>
      </c>
    </row>
    <row r="32" spans="4:19" ht="15.75" x14ac:dyDescent="0.25">
      <c r="G32" s="125"/>
      <c r="H32" s="105" t="str">
        <f>IF(ISBLANK(H31),"",IF(ISNUMBER(H31),"","Remove all non-numeric and blank characters from the "&amp;G31&amp;" input field"))</f>
        <v/>
      </c>
      <c r="I32" s="121"/>
      <c r="R32" s="132">
        <f>LCC0!A40</f>
        <v>25</v>
      </c>
      <c r="S32" s="319">
        <f t="shared" si="1"/>
        <v>1</v>
      </c>
    </row>
    <row r="33" spans="7:15" x14ac:dyDescent="0.2">
      <c r="G33" s="74"/>
      <c r="H33" s="74"/>
    </row>
    <row r="34" spans="7:15" x14ac:dyDescent="0.2">
      <c r="G34" s="74"/>
      <c r="H34" s="74"/>
    </row>
    <row r="35" spans="7:15" x14ac:dyDescent="0.2">
      <c r="G35" s="74"/>
      <c r="H35" s="74"/>
    </row>
    <row r="39" spans="7:15" x14ac:dyDescent="0.2">
      <c r="O39" s="74" t="s">
        <v>149</v>
      </c>
    </row>
  </sheetData>
  <phoneticPr fontId="0" type="noConversion"/>
  <conditionalFormatting sqref="H13">
    <cfRule type="expression" dxfId="16" priority="1" stopIfTrue="1">
      <formula>IF(H13&gt;H10+5,TRUE,FALSE)</formula>
    </cfRule>
  </conditionalFormatting>
  <conditionalFormatting sqref="S9:S32">
    <cfRule type="expression" dxfId="15" priority="2" stopIfTrue="1">
      <formula>IF(S9=S8,TRUE,FALSE)</formula>
    </cfRule>
  </conditionalFormatting>
  <conditionalFormatting sqref="I20">
    <cfRule type="cellIs" dxfId="14" priority="3" stopIfTrue="1" operator="equal">
      <formula>"ERROR, enter a number 1 through 5"</formula>
    </cfRule>
  </conditionalFormatting>
  <conditionalFormatting sqref="I23">
    <cfRule type="cellIs" dxfId="13" priority="4" stopIfTrue="1" operator="equal">
      <formula>"ERROR, enter an integer 1, 2, or 3"</formula>
    </cfRule>
  </conditionalFormatting>
  <conditionalFormatting sqref="I26">
    <cfRule type="cellIs" dxfId="12" priority="5" stopIfTrue="1" operator="equal">
      <formula>"ERROR"</formula>
    </cfRule>
  </conditionalFormatting>
  <conditionalFormatting sqref="H21">
    <cfRule type="expression" dxfId="11" priority="6" stopIfTrue="1">
      <formula>IF($I$20="ERROR, enter a number 1 through 5",TRUE,FALSE)</formula>
    </cfRule>
  </conditionalFormatting>
  <conditionalFormatting sqref="H24">
    <cfRule type="expression" dxfId="10" priority="7" stopIfTrue="1">
      <formula>IF($I$23="ERROR, enter an integer 1, 2, or 3",TRUE,FALSE)</formula>
    </cfRule>
  </conditionalFormatting>
  <conditionalFormatting sqref="H27">
    <cfRule type="expression" dxfId="9" priority="8" stopIfTrue="1">
      <formula>IF($I$26="ERROR",TRUE,FALSE)</formula>
    </cfRule>
  </conditionalFormatting>
  <conditionalFormatting sqref="H18">
    <cfRule type="expression" dxfId="8" priority="9" stopIfTrue="1">
      <formula>IF($H$19&gt;25,TRUE,FALSE)</formula>
    </cfRule>
  </conditionalFormatting>
  <conditionalFormatting sqref="H19">
    <cfRule type="expression" dxfId="7" priority="10" stopIfTrue="1">
      <formula>IF($H$19&lt;&gt;$H$18,TRUE,FALSE)</formula>
    </cfRule>
  </conditionalFormatting>
  <printOptions horizontalCentered="1"/>
  <pageMargins left="0.25" right="0.25" top="0.5" bottom="0.5" header="0.5" footer="0.5"/>
  <pageSetup scale="80" orientation="landscape" horizontalDpi="4294967292" verticalDpi="30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AE56"/>
  <sheetViews>
    <sheetView zoomScale="80" workbookViewId="0">
      <pane xSplit="1" topLeftCell="B1" activePane="topRight" state="frozenSplit"/>
      <selection activeCell="B4" sqref="B4"/>
      <selection pane="topRight" activeCell="B4" sqref="B4"/>
    </sheetView>
  </sheetViews>
  <sheetFormatPr defaultRowHeight="12.75" x14ac:dyDescent="0.2"/>
  <cols>
    <col min="1" max="1" width="4.5703125" style="129" customWidth="1"/>
    <col min="2" max="3" width="12" style="296" customWidth="1"/>
    <col min="4" max="5" width="10.7109375" style="296" customWidth="1"/>
    <col min="6" max="7" width="11.140625" style="74" customWidth="1"/>
    <col min="8" max="8" width="12.5703125" style="296" customWidth="1"/>
    <col min="9" max="9" width="10.28515625" style="74" customWidth="1"/>
    <col min="10" max="10" width="10.28515625" style="74" hidden="1" customWidth="1"/>
    <col min="11" max="12" width="13.42578125" style="74" hidden="1" customWidth="1"/>
    <col min="13" max="13" width="14.7109375" style="74" customWidth="1"/>
    <col min="14" max="14" width="10.5703125" style="74" customWidth="1"/>
    <col min="15" max="15" width="11" style="74" customWidth="1"/>
    <col min="16" max="16" width="10.28515625" style="74" hidden="1" customWidth="1"/>
    <col min="17" max="17" width="11" style="74" hidden="1" customWidth="1"/>
    <col min="18" max="18" width="12.140625" style="74" hidden="1" customWidth="1"/>
    <col min="19" max="19" width="12" style="74" customWidth="1"/>
    <col min="20" max="20" width="11.28515625" style="74" customWidth="1"/>
    <col min="21" max="21" width="12.7109375" style="74" customWidth="1"/>
    <col min="22" max="22" width="6" style="74" customWidth="1"/>
    <col min="23" max="23" width="15.28515625" style="74" hidden="1" customWidth="1"/>
    <col min="24" max="24" width="16" style="74" customWidth="1"/>
    <col min="25" max="25" width="14.5703125" style="74" customWidth="1"/>
    <col min="26" max="26" width="14.42578125" style="74" customWidth="1"/>
    <col min="27" max="27" width="11.85546875" style="303" customWidth="1"/>
    <col min="28" max="28" width="9.140625" style="74"/>
    <col min="29" max="29" width="10" style="74" hidden="1" customWidth="1"/>
    <col min="30" max="16384" width="9.140625" style="74"/>
  </cols>
  <sheetData>
    <row r="1" spans="1:31" s="124" customFormat="1" ht="13.5" thickBot="1" x14ac:dyDescent="0.25">
      <c r="A1" s="139"/>
      <c r="B1" s="140"/>
      <c r="C1" s="140"/>
      <c r="D1" s="140"/>
      <c r="E1" s="140"/>
      <c r="H1" s="140"/>
      <c r="AA1" s="141"/>
    </row>
    <row r="2" spans="1:31" ht="5.25" customHeight="1" thickTop="1" x14ac:dyDescent="0.2">
      <c r="A2" s="142"/>
      <c r="B2" s="143"/>
      <c r="C2" s="143"/>
      <c r="D2" s="143"/>
      <c r="E2" s="143"/>
      <c r="F2" s="143"/>
      <c r="G2" s="143"/>
      <c r="H2" s="144"/>
      <c r="I2" s="144"/>
      <c r="J2" s="144"/>
      <c r="K2" s="144"/>
      <c r="L2" s="144"/>
      <c r="M2" s="144"/>
      <c r="N2" s="144"/>
      <c r="O2" s="144"/>
      <c r="P2" s="144"/>
      <c r="Q2" s="144"/>
      <c r="R2" s="144"/>
      <c r="S2" s="144"/>
      <c r="T2" s="144"/>
      <c r="U2" s="144"/>
      <c r="V2" s="144"/>
      <c r="W2" s="144"/>
      <c r="X2" s="145"/>
      <c r="Y2" s="146"/>
      <c r="Z2" s="144"/>
      <c r="AA2" s="145"/>
    </row>
    <row r="3" spans="1:31" ht="15.75" x14ac:dyDescent="0.25">
      <c r="A3" s="147"/>
      <c r="B3" s="69" t="s">
        <v>244</v>
      </c>
      <c r="C3" s="69"/>
      <c r="D3" s="148"/>
      <c r="E3" s="148"/>
      <c r="G3" s="149" t="s">
        <v>190</v>
      </c>
      <c r="H3" s="150" t="str">
        <f>'General Data'!A12&amp;"/"&amp;'General Data'!H12</f>
        <v>4/2015</v>
      </c>
      <c r="M3" s="151" t="s">
        <v>193</v>
      </c>
      <c r="N3" s="152">
        <f>N4-H4</f>
        <v>25</v>
      </c>
      <c r="R3" s="153"/>
      <c r="S3" s="149" t="s">
        <v>11</v>
      </c>
      <c r="T3" s="154">
        <f>'General Data'!H10</f>
        <v>2015</v>
      </c>
      <c r="V3" s="149" t="s">
        <v>12</v>
      </c>
      <c r="W3" s="149"/>
      <c r="X3" s="155" t="str">
        <f>IF('General Data'!$H$21=1,"Northeast",IF('General Data'!$H$21=2,"Midwest",IF('General Data'!$H$21=3,"South",IF('General Data'!$H$21=4,"West",IF('General Data'!$H$21=5,"United States Average","error")))))</f>
        <v>West</v>
      </c>
      <c r="Y3" s="156"/>
      <c r="Z3" s="157"/>
      <c r="AA3" s="155"/>
    </row>
    <row r="4" spans="1:31" ht="15.75" x14ac:dyDescent="0.25">
      <c r="A4" s="147"/>
      <c r="B4" s="69" t="s">
        <v>245</v>
      </c>
      <c r="C4" s="69"/>
      <c r="D4" s="148"/>
      <c r="E4" s="148"/>
      <c r="G4" s="158" t="s">
        <v>195</v>
      </c>
      <c r="H4" s="159">
        <f>'General Data'!H13-'General Data'!H12</f>
        <v>0</v>
      </c>
      <c r="M4" s="151" t="s">
        <v>194</v>
      </c>
      <c r="N4" s="160">
        <f>'General Data'!$H$18</f>
        <v>25</v>
      </c>
      <c r="R4" s="153"/>
      <c r="S4" s="151" t="s">
        <v>255</v>
      </c>
      <c r="T4" s="161">
        <f>'General Data'!H15</f>
        <v>0.03</v>
      </c>
      <c r="V4" s="149" t="s">
        <v>13</v>
      </c>
      <c r="W4" s="149"/>
      <c r="X4" s="155" t="str">
        <f>IF('General Data'!$H$24=1,"Residential",IF('General Data'!$H$24=2,"Commercial",IF('General Data'!$H$24=3,"Industrial","error")))</f>
        <v>Commercial</v>
      </c>
      <c r="Y4" s="156"/>
      <c r="Z4" s="157"/>
      <c r="AA4" s="155"/>
    </row>
    <row r="5" spans="1:31" ht="17.25" customHeight="1" thickBot="1" x14ac:dyDescent="0.25">
      <c r="A5" s="162"/>
      <c r="B5" s="163"/>
      <c r="C5" s="163"/>
      <c r="D5" s="163"/>
      <c r="E5" s="163"/>
      <c r="F5" s="163"/>
      <c r="G5" s="163"/>
      <c r="H5" s="163"/>
      <c r="I5" s="164"/>
      <c r="J5" s="164"/>
      <c r="K5" s="164"/>
      <c r="L5" s="164"/>
      <c r="M5" s="164"/>
      <c r="N5" s="164"/>
      <c r="O5" s="164"/>
      <c r="P5" s="164"/>
      <c r="Q5" s="164"/>
      <c r="R5" s="164"/>
      <c r="S5" s="350" t="s">
        <v>254</v>
      </c>
      <c r="T5" s="351">
        <f>'General Data'!H16</f>
        <v>0.03</v>
      </c>
      <c r="U5" s="164"/>
      <c r="V5" s="164"/>
      <c r="W5" s="164"/>
      <c r="X5" s="165"/>
      <c r="Y5" s="166"/>
      <c r="Z5" s="164"/>
      <c r="AA5" s="165"/>
    </row>
    <row r="6" spans="1:31" ht="5.25" customHeight="1" thickTop="1" x14ac:dyDescent="0.2">
      <c r="A6" s="167"/>
      <c r="B6" s="168"/>
      <c r="C6" s="168"/>
      <c r="D6" s="168"/>
      <c r="E6" s="168"/>
      <c r="F6" s="169"/>
      <c r="G6" s="170"/>
      <c r="H6" s="171"/>
      <c r="I6" s="172"/>
      <c r="J6" s="172"/>
      <c r="K6" s="172"/>
      <c r="L6" s="173"/>
      <c r="M6" s="174"/>
      <c r="N6" s="172"/>
      <c r="O6" s="172"/>
      <c r="P6" s="172"/>
      <c r="Q6" s="172"/>
      <c r="R6" s="173"/>
      <c r="S6" s="174"/>
      <c r="T6" s="172"/>
      <c r="U6" s="170"/>
      <c r="X6" s="174"/>
      <c r="Y6" s="175"/>
      <c r="Z6" s="124"/>
      <c r="AA6" s="174"/>
    </row>
    <row r="7" spans="1:31" x14ac:dyDescent="0.2">
      <c r="A7" s="176"/>
      <c r="B7" s="177" t="s">
        <v>14</v>
      </c>
      <c r="C7" s="177"/>
      <c r="D7" s="177"/>
      <c r="E7" s="177"/>
      <c r="F7" s="178"/>
      <c r="G7" s="179"/>
      <c r="H7" s="180" t="s">
        <v>15</v>
      </c>
      <c r="I7" s="181"/>
      <c r="J7" s="181"/>
      <c r="K7" s="181"/>
      <c r="L7" s="182"/>
      <c r="M7" s="183"/>
      <c r="N7" s="180" t="str">
        <f>IF('General Data'!$H$27=1,"NATURAL GAS COSTS",IF('General Data'!$H$27=2,"LPG FUEL COSTS",IF('General Data'!$H$27=3,"DISTILATE FUEL OIL COSTS",IF('General Data'!$H$27=4,"RESIDUAL FUEL OIL COSTS",IF('General Data'!$H$27=5,"COAL COSTS",IF('General Data'!$H$27=0,"NO 2ND FUEL USED","error?"))))))</f>
        <v>NATURAL GAS COSTS</v>
      </c>
      <c r="O7" s="181"/>
      <c r="P7" s="181"/>
      <c r="Q7" s="181"/>
      <c r="R7" s="182"/>
      <c r="S7" s="183"/>
      <c r="T7" s="180" t="s">
        <v>16</v>
      </c>
      <c r="U7" s="179"/>
      <c r="V7" s="180" t="s">
        <v>17</v>
      </c>
      <c r="W7" s="180"/>
      <c r="X7" s="183"/>
      <c r="Y7" s="184" t="s">
        <v>151</v>
      </c>
      <c r="Z7" s="177"/>
      <c r="AA7" s="185"/>
    </row>
    <row r="8" spans="1:31" x14ac:dyDescent="0.2">
      <c r="A8" s="176"/>
      <c r="B8" s="177"/>
      <c r="C8" s="177"/>
      <c r="D8" s="177"/>
      <c r="E8" s="177"/>
      <c r="F8" s="178"/>
      <c r="G8" s="179"/>
      <c r="H8" s="180" t="s">
        <v>18</v>
      </c>
      <c r="I8" s="181"/>
      <c r="J8" s="181"/>
      <c r="K8" s="181"/>
      <c r="L8" s="182"/>
      <c r="M8" s="183"/>
      <c r="N8" s="180" t="s">
        <v>18</v>
      </c>
      <c r="O8" s="181"/>
      <c r="P8" s="181"/>
      <c r="Q8" s="181"/>
      <c r="R8" s="182"/>
      <c r="S8" s="183"/>
      <c r="T8" s="180" t="s">
        <v>19</v>
      </c>
      <c r="U8" s="179"/>
      <c r="V8" s="180" t="s">
        <v>18</v>
      </c>
      <c r="W8" s="180"/>
      <c r="X8" s="186"/>
      <c r="Y8" s="187" t="s">
        <v>20</v>
      </c>
      <c r="Z8" s="188" t="s">
        <v>21</v>
      </c>
      <c r="AA8" s="189" t="s">
        <v>54</v>
      </c>
      <c r="AC8" s="190" t="s">
        <v>61</v>
      </c>
    </row>
    <row r="9" spans="1:31" ht="6" customHeight="1" x14ac:dyDescent="0.2">
      <c r="A9" s="176"/>
      <c r="B9" s="177"/>
      <c r="C9" s="177"/>
      <c r="D9" s="177"/>
      <c r="E9" s="177"/>
      <c r="F9" s="178"/>
      <c r="G9" s="179"/>
      <c r="H9" s="180"/>
      <c r="I9" s="181"/>
      <c r="J9" s="181"/>
      <c r="K9" s="181"/>
      <c r="L9" s="182"/>
      <c r="M9" s="183"/>
      <c r="N9" s="180"/>
      <c r="O9" s="181"/>
      <c r="P9" s="181"/>
      <c r="Q9" s="181"/>
      <c r="R9" s="182"/>
      <c r="S9" s="183"/>
      <c r="T9" s="180"/>
      <c r="U9" s="179"/>
      <c r="V9" s="180"/>
      <c r="W9" s="180"/>
      <c r="X9" s="183"/>
      <c r="Y9" s="191"/>
      <c r="Z9" s="192"/>
      <c r="AA9" s="183"/>
      <c r="AC9" s="190"/>
    </row>
    <row r="10" spans="1:31" s="198" customFormat="1" x14ac:dyDescent="0.2">
      <c r="A10" s="176"/>
      <c r="B10" s="153"/>
      <c r="C10" s="193" t="s">
        <v>22</v>
      </c>
      <c r="D10" s="193"/>
      <c r="E10" s="193"/>
      <c r="F10" s="188" t="s">
        <v>23</v>
      </c>
      <c r="G10" s="170"/>
      <c r="H10" s="194" t="s">
        <v>24</v>
      </c>
      <c r="I10" s="194" t="str">
        <f>'DOE Fuel Esc Rates'!H8</f>
        <v>Electric</v>
      </c>
      <c r="J10" s="194" t="str">
        <f>I10</f>
        <v>Electric</v>
      </c>
      <c r="K10" s="194" t="s">
        <v>25</v>
      </c>
      <c r="L10" s="173" t="s">
        <v>26</v>
      </c>
      <c r="M10" s="195" t="s">
        <v>26</v>
      </c>
      <c r="N10" s="194" t="s">
        <v>24</v>
      </c>
      <c r="O10" s="194" t="str">
        <f>'DOE Fuel Esc Rates'!$W$5</f>
        <v>Nat Gas</v>
      </c>
      <c r="P10" s="194" t="str">
        <f>O10</f>
        <v>Nat Gas</v>
      </c>
      <c r="Q10" s="194" t="s">
        <v>25</v>
      </c>
      <c r="R10" s="173" t="s">
        <v>26</v>
      </c>
      <c r="S10" s="195" t="s">
        <v>26</v>
      </c>
      <c r="T10" s="194" t="s">
        <v>24</v>
      </c>
      <c r="U10" s="195" t="s">
        <v>26</v>
      </c>
      <c r="V10" s="172"/>
      <c r="W10" s="194" t="s">
        <v>173</v>
      </c>
      <c r="X10" s="195" t="s">
        <v>26</v>
      </c>
      <c r="Y10" s="196" t="s">
        <v>26</v>
      </c>
      <c r="Z10" s="197" t="s">
        <v>26</v>
      </c>
      <c r="AA10" s="195"/>
      <c r="AB10" s="74"/>
      <c r="AC10" s="190" t="s">
        <v>173</v>
      </c>
    </row>
    <row r="11" spans="1:31" s="198" customFormat="1" x14ac:dyDescent="0.2">
      <c r="A11" s="176"/>
      <c r="B11" s="199"/>
      <c r="C11" s="200" t="s">
        <v>27</v>
      </c>
      <c r="D11" s="201"/>
      <c r="E11" s="201"/>
      <c r="F11" s="200" t="s">
        <v>28</v>
      </c>
      <c r="G11" s="179"/>
      <c r="H11" s="194" t="s">
        <v>29</v>
      </c>
      <c r="I11" s="194" t="s">
        <v>30</v>
      </c>
      <c r="J11" s="194" t="s">
        <v>200</v>
      </c>
      <c r="K11" s="173" t="s">
        <v>31</v>
      </c>
      <c r="L11" s="173" t="s">
        <v>31</v>
      </c>
      <c r="M11" s="195" t="s">
        <v>32</v>
      </c>
      <c r="N11" s="194" t="s">
        <v>29</v>
      </c>
      <c r="O11" s="194" t="s">
        <v>30</v>
      </c>
      <c r="P11" s="194" t="s">
        <v>200</v>
      </c>
      <c r="Q11" s="173" t="s">
        <v>31</v>
      </c>
      <c r="R11" s="173" t="s">
        <v>31</v>
      </c>
      <c r="S11" s="195" t="str">
        <f>O10</f>
        <v>Nat Gas</v>
      </c>
      <c r="T11" s="194" t="s">
        <v>29</v>
      </c>
      <c r="U11" s="202" t="s">
        <v>29</v>
      </c>
      <c r="V11" s="172"/>
      <c r="W11" s="203" t="s">
        <v>34</v>
      </c>
      <c r="X11" s="202" t="s">
        <v>34</v>
      </c>
      <c r="Y11" s="204" t="s">
        <v>152</v>
      </c>
      <c r="Z11" s="203" t="s">
        <v>152</v>
      </c>
      <c r="AA11" s="202" t="s">
        <v>26</v>
      </c>
      <c r="AC11" s="190" t="s">
        <v>182</v>
      </c>
    </row>
    <row r="12" spans="1:31" s="198" customFormat="1" x14ac:dyDescent="0.2">
      <c r="A12" s="176" t="s">
        <v>41</v>
      </c>
      <c r="B12" s="205" t="s">
        <v>35</v>
      </c>
      <c r="C12" s="206"/>
      <c r="D12" s="207" t="s">
        <v>26</v>
      </c>
      <c r="E12" s="205" t="s">
        <v>35</v>
      </c>
      <c r="F12" s="206"/>
      <c r="G12" s="208" t="s">
        <v>26</v>
      </c>
      <c r="H12" s="173" t="s">
        <v>32</v>
      </c>
      <c r="I12" s="194" t="s">
        <v>36</v>
      </c>
      <c r="J12" s="194" t="s">
        <v>36</v>
      </c>
      <c r="K12" s="173" t="s">
        <v>37</v>
      </c>
      <c r="L12" s="173" t="s">
        <v>38</v>
      </c>
      <c r="M12" s="209" t="s">
        <v>39</v>
      </c>
      <c r="N12" s="194" t="str">
        <f>O10</f>
        <v>Nat Gas</v>
      </c>
      <c r="O12" s="194" t="s">
        <v>36</v>
      </c>
      <c r="P12" s="194" t="s">
        <v>36</v>
      </c>
      <c r="Q12" s="173" t="s">
        <v>37</v>
      </c>
      <c r="R12" s="173" t="s">
        <v>38</v>
      </c>
      <c r="S12" s="209" t="s">
        <v>39</v>
      </c>
      <c r="T12" s="210" t="s">
        <v>40</v>
      </c>
      <c r="U12" s="179"/>
      <c r="V12" s="194" t="s">
        <v>41</v>
      </c>
      <c r="W12" s="203" t="s">
        <v>42</v>
      </c>
      <c r="X12" s="202" t="s">
        <v>42</v>
      </c>
      <c r="Y12" s="204" t="s">
        <v>42</v>
      </c>
      <c r="Z12" s="203" t="s">
        <v>43</v>
      </c>
      <c r="AA12" s="211" t="s">
        <v>54</v>
      </c>
      <c r="AC12" s="190" t="s">
        <v>42</v>
      </c>
    </row>
    <row r="13" spans="1:31" s="198" customFormat="1" x14ac:dyDescent="0.2">
      <c r="A13" s="176" t="s">
        <v>188</v>
      </c>
      <c r="B13" s="212" t="s">
        <v>44</v>
      </c>
      <c r="C13" s="213" t="s">
        <v>45</v>
      </c>
      <c r="D13" s="214" t="s">
        <v>46</v>
      </c>
      <c r="E13" s="212" t="s">
        <v>44</v>
      </c>
      <c r="F13" s="213" t="s">
        <v>45</v>
      </c>
      <c r="G13" s="211" t="s">
        <v>46</v>
      </c>
      <c r="H13" s="212" t="s">
        <v>45</v>
      </c>
      <c r="I13" s="215" t="s">
        <v>47</v>
      </c>
      <c r="J13" s="215" t="s">
        <v>47</v>
      </c>
      <c r="K13" s="216" t="s">
        <v>46</v>
      </c>
      <c r="L13" s="216" t="s">
        <v>46</v>
      </c>
      <c r="M13" s="211" t="s">
        <v>46</v>
      </c>
      <c r="N13" s="215" t="s">
        <v>45</v>
      </c>
      <c r="O13" s="215" t="s">
        <v>47</v>
      </c>
      <c r="P13" s="215" t="s">
        <v>47</v>
      </c>
      <c r="Q13" s="216" t="s">
        <v>46</v>
      </c>
      <c r="R13" s="216" t="s">
        <v>46</v>
      </c>
      <c r="S13" s="211" t="s">
        <v>46</v>
      </c>
      <c r="T13" s="215" t="s">
        <v>45</v>
      </c>
      <c r="U13" s="211" t="s">
        <v>46</v>
      </c>
      <c r="V13" s="194" t="s">
        <v>186</v>
      </c>
      <c r="W13" s="213" t="s">
        <v>174</v>
      </c>
      <c r="X13" s="211" t="s">
        <v>46</v>
      </c>
      <c r="Y13" s="217" t="s">
        <v>46</v>
      </c>
      <c r="Z13" s="218" t="s">
        <v>46</v>
      </c>
      <c r="AA13" s="219" t="s">
        <v>55</v>
      </c>
    </row>
    <row r="14" spans="1:31" ht="3.75" customHeight="1" x14ac:dyDescent="0.2">
      <c r="A14" s="220"/>
      <c r="B14" s="221"/>
      <c r="C14" s="222"/>
      <c r="D14" s="223"/>
      <c r="E14" s="221"/>
      <c r="F14" s="222"/>
      <c r="G14" s="224"/>
      <c r="H14" s="221"/>
      <c r="I14" s="129"/>
      <c r="J14" s="129"/>
      <c r="K14" s="129"/>
      <c r="L14" s="225"/>
      <c r="M14" s="174"/>
      <c r="N14" s="129"/>
      <c r="O14" s="129"/>
      <c r="P14" s="129"/>
      <c r="Q14" s="129"/>
      <c r="S14" s="174"/>
      <c r="U14" s="174"/>
      <c r="V14" s="129"/>
      <c r="W14" s="129"/>
      <c r="X14" s="174"/>
      <c r="Y14" s="175"/>
      <c r="Z14" s="124"/>
      <c r="AA14" s="174"/>
      <c r="AB14" s="198"/>
      <c r="AC14" s="198"/>
      <c r="AE14" s="198"/>
    </row>
    <row r="15" spans="1:31" x14ac:dyDescent="0.2">
      <c r="A15" s="226">
        <v>0</v>
      </c>
      <c r="B15" s="50" t="s">
        <v>48</v>
      </c>
      <c r="C15" s="50">
        <v>245540</v>
      </c>
      <c r="D15" s="227">
        <f>$C15/(1+disc)^$A15</f>
        <v>245540</v>
      </c>
      <c r="E15" s="228" t="s">
        <v>49</v>
      </c>
      <c r="F15" s="229" t="s">
        <v>49</v>
      </c>
      <c r="G15" s="230" t="s">
        <v>49</v>
      </c>
      <c r="H15" s="52">
        <v>616360</v>
      </c>
      <c r="I15" s="78" t="str">
        <f>IF('General Data'!$H$30="","",'General Data'!$H$30)</f>
        <v/>
      </c>
      <c r="J15" s="78"/>
      <c r="K15" s="231">
        <f>IF(A16=1,1,VLOOKUP(A16-1,'DOE Fuel Esc Rates'!T9:AB13,8,TRUE))</f>
        <v>1</v>
      </c>
      <c r="L15" s="232"/>
      <c r="M15" s="233"/>
      <c r="N15" s="53">
        <v>20420</v>
      </c>
      <c r="O15" s="78" t="str">
        <f>IF('General Data'!$H$31="","",'General Data'!$H$31)</f>
        <v/>
      </c>
      <c r="P15" s="78"/>
      <c r="Q15" s="234">
        <f>IF(A16=1,1,VLOOKUP(A16-1,'DOE Fuel Esc Rates'!T9:AB13,9,TRUE))</f>
        <v>1</v>
      </c>
      <c r="R15" s="232"/>
      <c r="S15" s="233"/>
      <c r="T15" s="53">
        <v>0</v>
      </c>
      <c r="U15" s="233"/>
      <c r="V15" s="235"/>
      <c r="W15" s="236">
        <f>+D15+M15+S15+U15</f>
        <v>245540</v>
      </c>
      <c r="X15" s="237">
        <f>+D15+M15+S15+U15</f>
        <v>245540</v>
      </c>
      <c r="Y15" s="238">
        <f>SUM(X$15:X15)</f>
        <v>245540</v>
      </c>
      <c r="Z15" s="236">
        <f>LCC0!Y15-Y15</f>
        <v>-191240</v>
      </c>
      <c r="AA15" s="237"/>
      <c r="AB15" s="198"/>
      <c r="AC15" s="198"/>
      <c r="AE15" s="198"/>
    </row>
    <row r="16" spans="1:31" x14ac:dyDescent="0.2">
      <c r="A16" s="239">
        <f>IF(ROW(A16)-ROW($A$15)+$H$4&lt;=$N$4,A15+1+$H$4,"")</f>
        <v>1</v>
      </c>
      <c r="B16" s="51"/>
      <c r="C16" s="51">
        <v>0</v>
      </c>
      <c r="D16" s="240">
        <f>IF($A16&lt;&gt;"",$C16/((1+$T$5)^$A16),"")</f>
        <v>0</v>
      </c>
      <c r="E16" s="51"/>
      <c r="F16" s="51">
        <v>0</v>
      </c>
      <c r="G16" s="241">
        <f t="shared" ref="G16:G40" si="0">IF($A16&lt;&gt;"",$F16/((1+disc)^$A16),"")</f>
        <v>0</v>
      </c>
      <c r="H16" s="242">
        <f>IF($A16&lt;=$N$4,H$15*'General Data'!$S8,"")</f>
        <v>616360</v>
      </c>
      <c r="I16" s="243">
        <f>IF(A16&lt;&gt;"",IF(I$15="",VLOOKUP(A16,'DOE Fuel Esc Rates'!$T$9:$W$38,3,TRUE),I$15),"")</f>
        <v>2.7786548784338283E-2</v>
      </c>
      <c r="J16" s="243">
        <f>((1+I16)*(1+'General Data'!$M$25))-1</f>
        <v>2.8814335333122498E-2</v>
      </c>
      <c r="K16" s="244">
        <f>IF(H16&lt;&gt;"",H16*(1+I16)*K15,"")</f>
        <v>633486.51720871474</v>
      </c>
      <c r="L16" s="244">
        <f t="shared" ref="L16:L40" si="1">IF(H16&lt;&gt;"",H16/(1+disc)^$A16,"")</f>
        <v>598407.7669902913</v>
      </c>
      <c r="M16" s="241">
        <f t="shared" ref="M16:M40" si="2">IF(H16&lt;&gt;"",K16/(1+disc)^$A16,"")</f>
        <v>615035.45360069396</v>
      </c>
      <c r="N16" s="242">
        <f>IF($A16&lt;=$N$4,N$15*'General Data'!$S8,"")</f>
        <v>20420</v>
      </c>
      <c r="O16" s="243">
        <f>IF(A16&lt;&gt;"",IF(O$15="",VLOOKUP(A16,'DOE Fuel Esc Rates'!$T$9:$W$38,4,TRUE),O$15),"")</f>
        <v>1.2387387387387427E-2</v>
      </c>
      <c r="P16" s="243">
        <f>((1+O16)*(1+'General Data'!$M$25))-1</f>
        <v>1.339977477477472E-2</v>
      </c>
      <c r="Q16" s="244">
        <f>IF(N16&lt;&gt;"",N16*(1+O16)*Q15,"")</f>
        <v>20672.950450450451</v>
      </c>
      <c r="R16" s="244">
        <f t="shared" ref="R16:R40" si="3">IF(N16&lt;&gt;"",N16/(1+disc)^$A16,"")</f>
        <v>19825.2427184466</v>
      </c>
      <c r="S16" s="241">
        <f t="shared" ref="S16:S40" si="4">IF(N16&lt;&gt;"",Q16/((1+disc)^$A16),"")</f>
        <v>20070.82568004898</v>
      </c>
      <c r="T16" s="242">
        <f t="shared" ref="T16:T40" si="5">IF($A16&lt;=$N$4,T$15,"")</f>
        <v>0</v>
      </c>
      <c r="U16" s="245">
        <f t="shared" ref="U16:U40" si="6">IF(T16&lt;&gt;"",T16/(1+disc)^A16,"")</f>
        <v>0</v>
      </c>
      <c r="V16" s="246">
        <f>IF($A16&lt;=$N$4,VLOOKUP(A16,'DOE Fuel Esc Rates'!$T$9:$W$38,2,TRUE),"")</f>
        <v>2015</v>
      </c>
      <c r="W16" s="247">
        <f t="shared" ref="W16:W40" si="7">IF(A16&lt;&gt;"",SUM(C16,F16,K16,Q16,T16),"")</f>
        <v>654159.46765916515</v>
      </c>
      <c r="X16" s="241">
        <f t="shared" ref="X16:X40" si="8">IF(A16&lt;&gt;"",SUM(D16,G16,M16,S16,U16),"")</f>
        <v>635106.27928074298</v>
      </c>
      <c r="Y16" s="248">
        <f>IF(A16&lt;&gt;"",SUM(X$15:X16),"")</f>
        <v>880646.27928074298</v>
      </c>
      <c r="Z16" s="249">
        <f>IF(A16&lt;&gt;"",LCC0!Y16-Y16,"")</f>
        <v>-146559.63997851219</v>
      </c>
      <c r="AA16" s="312" t="str">
        <f>IF(A16&lt;&gt;"",IF(Z16&gt;0,A15+(-Z15)/(Z16-Z15),""),"")</f>
        <v/>
      </c>
      <c r="AB16" s="198"/>
      <c r="AC16" s="251">
        <f t="shared" ref="AC16:AC40" si="9">SUM(K16,Q16)</f>
        <v>654159.46765916515</v>
      </c>
      <c r="AE16" s="198"/>
    </row>
    <row r="17" spans="1:31" x14ac:dyDescent="0.2">
      <c r="A17" s="176">
        <f>IF(ROW(A17)-ROW($A$15)+$H$4&lt;=$N$4,A16+1,"")</f>
        <v>2</v>
      </c>
      <c r="B17" s="56"/>
      <c r="C17" s="51">
        <v>0</v>
      </c>
      <c r="D17" s="252">
        <f t="shared" ref="D17:D40" si="10">IF($A17&lt;&gt;"",$C17/((1+$T$5)^$A17),"")</f>
        <v>0</v>
      </c>
      <c r="E17" s="56"/>
      <c r="F17" s="51">
        <v>0</v>
      </c>
      <c r="G17" s="241">
        <f t="shared" si="0"/>
        <v>0</v>
      </c>
      <c r="H17" s="242">
        <f>IF($A17&lt;=$N$4,H$15*'General Data'!$S9,"")</f>
        <v>616360</v>
      </c>
      <c r="I17" s="243">
        <f>IF(A17&lt;&gt;"",IF(I$15="",VLOOKUP(A17,'DOE Fuel Esc Rates'!$T$9:$W$38,3,TRUE),I$15),"")</f>
        <v>1.3824884792626779E-2</v>
      </c>
      <c r="J17" s="243">
        <f>((1+I17)*(1+'General Data'!$M$25))-1</f>
        <v>1.4838709677419404E-2</v>
      </c>
      <c r="K17" s="253">
        <f t="shared" ref="K17:K40" si="11">IF(H17&lt;&gt;"",K16*(1+I17),"")</f>
        <v>642244.39532680763</v>
      </c>
      <c r="L17" s="253">
        <f t="shared" si="1"/>
        <v>580978.41455368081</v>
      </c>
      <c r="M17" s="241">
        <f t="shared" si="2"/>
        <v>605376.9396991306</v>
      </c>
      <c r="N17" s="242">
        <f>IF($A17&lt;=$N$4,N$15*'General Data'!$S9,"")</f>
        <v>20420</v>
      </c>
      <c r="O17" s="243">
        <f>IF(A17&lt;&gt;"",IF(O$15="",VLOOKUP(A17,'DOE Fuel Esc Rates'!$T$9:$W$38,4,TRUE),O$15),"")</f>
        <v>1.1123470522802492E-3</v>
      </c>
      <c r="P17" s="243">
        <f>((1+O17)*(1+'General Data'!$M$25))-1</f>
        <v>2.1134593993323847E-3</v>
      </c>
      <c r="Q17" s="253">
        <f t="shared" ref="Q17:Q40" si="12">IF(N17&lt;&gt;"",Q16*(1+O17),"")</f>
        <v>20695.945945945947</v>
      </c>
      <c r="R17" s="253">
        <f t="shared" si="3"/>
        <v>19247.808464511265</v>
      </c>
      <c r="S17" s="241">
        <f t="shared" si="4"/>
        <v>19507.913984301958</v>
      </c>
      <c r="T17" s="242">
        <f t="shared" si="5"/>
        <v>0</v>
      </c>
      <c r="U17" s="245">
        <f t="shared" si="6"/>
        <v>0</v>
      </c>
      <c r="V17" s="246">
        <f>IF($A17&lt;=$N$4,VLOOKUP(A17,'DOE Fuel Esc Rates'!$T$9:$W$38,2,TRUE),"")</f>
        <v>2016</v>
      </c>
      <c r="W17" s="247">
        <f t="shared" si="7"/>
        <v>662940.34127275355</v>
      </c>
      <c r="X17" s="241">
        <f t="shared" si="8"/>
        <v>624884.85368343256</v>
      </c>
      <c r="Y17" s="248">
        <f>IF(A17&lt;&gt;"",SUM(X$15:X17),"")</f>
        <v>1505531.1329641757</v>
      </c>
      <c r="Z17" s="249">
        <f>IF(A17&lt;&gt;"",LCC0!Y17-Y17,"")</f>
        <v>-102640.38310816325</v>
      </c>
      <c r="AA17" s="312" t="str">
        <f>IF(A17&lt;&gt;"",IF(Z17&gt;0,IF(SUM(AA$16:AA16)=0,A16+(-Z16)/(Z17-Z16),""),""),"")</f>
        <v/>
      </c>
      <c r="AB17" s="198"/>
      <c r="AC17" s="251">
        <f t="shared" si="9"/>
        <v>662940.34127275355</v>
      </c>
      <c r="AE17" s="198"/>
    </row>
    <row r="18" spans="1:31" x14ac:dyDescent="0.2">
      <c r="A18" s="176">
        <f t="shared" ref="A18:A40" si="13">IF(ROW(A18)-ROW($A$15)+$H$4&lt;=$N$4,A17+1,"")</f>
        <v>3</v>
      </c>
      <c r="B18" s="56"/>
      <c r="C18" s="51">
        <v>0</v>
      </c>
      <c r="D18" s="252">
        <f t="shared" si="10"/>
        <v>0</v>
      </c>
      <c r="E18" s="56"/>
      <c r="F18" s="51">
        <v>0</v>
      </c>
      <c r="G18" s="241">
        <f t="shared" si="0"/>
        <v>0</v>
      </c>
      <c r="H18" s="242">
        <f>IF($A18&lt;=$N$4,H$15*'General Data'!$S10,"")</f>
        <v>616360</v>
      </c>
      <c r="I18" s="243">
        <f>IF(A18&lt;&gt;"",IF(I$15="",VLOOKUP(A18,'DOE Fuel Esc Rates'!$T$9:$W$38,3,TRUE),I$15),"")</f>
        <v>-1.0606060606060619E-2</v>
      </c>
      <c r="J18" s="243">
        <f>((1+I18)*(1+'General Data'!$M$25))-1</f>
        <v>-9.6166666666668288E-3</v>
      </c>
      <c r="K18" s="253">
        <f t="shared" si="11"/>
        <v>635432.7123460687</v>
      </c>
      <c r="L18" s="253">
        <f t="shared" si="1"/>
        <v>564056.71315891342</v>
      </c>
      <c r="M18" s="241">
        <f t="shared" si="2"/>
        <v>581510.94678366021</v>
      </c>
      <c r="N18" s="242">
        <f>IF($A18&lt;=$N$4,N$15*'General Data'!$S10,"")</f>
        <v>20420</v>
      </c>
      <c r="O18" s="243">
        <f>IF(A18&lt;&gt;"",IF(O$15="",VLOOKUP(A18,'DOE Fuel Esc Rates'!$T$9:$W$38,4,TRUE),O$15),"")</f>
        <v>-1.1111111111110628E-3</v>
      </c>
      <c r="P18" s="243">
        <f>((1+O18)*(1+'General Data'!$M$25))-1</f>
        <v>-1.1222222222229128E-4</v>
      </c>
      <c r="Q18" s="253">
        <f t="shared" si="12"/>
        <v>20672.950450450451</v>
      </c>
      <c r="R18" s="253">
        <f t="shared" si="3"/>
        <v>18687.192683991518</v>
      </c>
      <c r="S18" s="241">
        <f t="shared" si="4"/>
        <v>18918.678178950875</v>
      </c>
      <c r="T18" s="242">
        <f t="shared" si="5"/>
        <v>0</v>
      </c>
      <c r="U18" s="245">
        <f t="shared" si="6"/>
        <v>0</v>
      </c>
      <c r="V18" s="246">
        <f>IF($A18&lt;=$N$4,VLOOKUP(A18,'DOE Fuel Esc Rates'!$T$9:$W$38,2,TRUE),"")</f>
        <v>2017</v>
      </c>
      <c r="W18" s="247">
        <f t="shared" si="7"/>
        <v>656105.66279651911</v>
      </c>
      <c r="X18" s="241">
        <f t="shared" si="8"/>
        <v>600429.62496261112</v>
      </c>
      <c r="Y18" s="248">
        <f>IF(A18&lt;&gt;"",SUM(X$15:X18),"")</f>
        <v>2105960.7579267868</v>
      </c>
      <c r="Z18" s="249">
        <f>IF(A18&lt;&gt;"",LCC0!Y18-Y18,"")</f>
        <v>-60409.418339754688</v>
      </c>
      <c r="AA18" s="312" t="str">
        <f>IF(A18&lt;&gt;"",IF(Z18&gt;0,IF(SUM(AA$16:AA17)=0,A17+(-Z17)/(Z18-Z17),""),""),"")</f>
        <v/>
      </c>
      <c r="AB18" s="198"/>
      <c r="AC18" s="251">
        <f t="shared" si="9"/>
        <v>656105.66279651911</v>
      </c>
      <c r="AE18" s="198"/>
    </row>
    <row r="19" spans="1:31" x14ac:dyDescent="0.2">
      <c r="A19" s="176">
        <f t="shared" si="13"/>
        <v>4</v>
      </c>
      <c r="B19" s="56"/>
      <c r="C19" s="51">
        <v>0</v>
      </c>
      <c r="D19" s="252">
        <f t="shared" si="10"/>
        <v>0</v>
      </c>
      <c r="E19" s="56"/>
      <c r="F19" s="51">
        <v>0</v>
      </c>
      <c r="G19" s="241">
        <f t="shared" si="0"/>
        <v>0</v>
      </c>
      <c r="H19" s="242">
        <f>IF($A19&lt;=$N$4,H$15*'General Data'!$S11,"")</f>
        <v>616360</v>
      </c>
      <c r="I19" s="243">
        <f>IF(A19&lt;&gt;"",IF(I$15="",VLOOKUP(A19,'DOE Fuel Esc Rates'!$T$9:$W$38,3,TRUE),I$15),"")</f>
        <v>-7.9632465543644226E-3</v>
      </c>
      <c r="J19" s="243">
        <f>((1+I19)*(1+'General Data'!$M$25))-1</f>
        <v>-6.9712098009189205E-3</v>
      </c>
      <c r="K19" s="253">
        <f t="shared" si="11"/>
        <v>630372.60498894844</v>
      </c>
      <c r="L19" s="253">
        <f t="shared" si="1"/>
        <v>547627.87685331411</v>
      </c>
      <c r="M19" s="241">
        <f t="shared" si="2"/>
        <v>560077.89489355346</v>
      </c>
      <c r="N19" s="242">
        <f>IF($A19&lt;=$N$4,N$15*'General Data'!$S11,"")</f>
        <v>20420</v>
      </c>
      <c r="O19" s="243">
        <f>IF(A19&lt;&gt;"",IF(O$15="",VLOOKUP(A19,'DOE Fuel Esc Rates'!$T$9:$W$38,4,TRUE),O$15),"")</f>
        <v>3.6707452725250223E-2</v>
      </c>
      <c r="P19" s="243">
        <f>((1+O19)*(1+'General Data'!$M$25))-1</f>
        <v>3.7744160177975328E-2</v>
      </c>
      <c r="Q19" s="253">
        <f t="shared" si="12"/>
        <v>21431.801801801801</v>
      </c>
      <c r="R19" s="253">
        <f t="shared" si="3"/>
        <v>18142.905518438369</v>
      </c>
      <c r="S19" s="241">
        <f t="shared" si="4"/>
        <v>19041.878314397025</v>
      </c>
      <c r="T19" s="242">
        <f t="shared" si="5"/>
        <v>0</v>
      </c>
      <c r="U19" s="245">
        <f t="shared" si="6"/>
        <v>0</v>
      </c>
      <c r="V19" s="246">
        <f>IF($A19&lt;=$N$4,VLOOKUP(A19,'DOE Fuel Esc Rates'!$T$9:$W$38,2,TRUE),"")</f>
        <v>2018</v>
      </c>
      <c r="W19" s="247">
        <f t="shared" si="7"/>
        <v>651804.40679075022</v>
      </c>
      <c r="X19" s="241">
        <f t="shared" si="8"/>
        <v>579119.77320795052</v>
      </c>
      <c r="Y19" s="248">
        <f>IF(A19&lt;&gt;"",SUM(X$15:X19),"")</f>
        <v>2685080.5311347372</v>
      </c>
      <c r="Z19" s="249">
        <f>IF(A19&lt;&gt;"",LCC0!Y19-Y19,"")</f>
        <v>-19538.095412875526</v>
      </c>
      <c r="AA19" s="312" t="str">
        <f>IF(A19&lt;&gt;"",IF(Z19&gt;0,IF(SUM(AA$16:AA18)=0,A18+(-Z18)/(Z19-Z18),""),""),"")</f>
        <v/>
      </c>
      <c r="AB19" s="198"/>
      <c r="AC19" s="251">
        <f t="shared" si="9"/>
        <v>651804.40679075022</v>
      </c>
      <c r="AE19" s="198"/>
    </row>
    <row r="20" spans="1:31" x14ac:dyDescent="0.2">
      <c r="A20" s="176">
        <f t="shared" si="13"/>
        <v>5</v>
      </c>
      <c r="B20" s="56"/>
      <c r="C20" s="51">
        <v>0</v>
      </c>
      <c r="D20" s="252">
        <f t="shared" si="10"/>
        <v>0</v>
      </c>
      <c r="E20" s="56"/>
      <c r="F20" s="51">
        <v>0</v>
      </c>
      <c r="G20" s="241">
        <f t="shared" si="0"/>
        <v>0</v>
      </c>
      <c r="H20" s="242">
        <f>IF($A20&lt;=$N$4,H$15*'General Data'!$S12,"")</f>
        <v>616360</v>
      </c>
      <c r="I20" s="243">
        <f>IF(A20&lt;&gt;"",IF(I$15="",VLOOKUP(A20,'DOE Fuel Esc Rates'!$T$9:$W$38,3,TRUE),I$15),"")</f>
        <v>6.1747452917559897E-4</v>
      </c>
      <c r="J20" s="243">
        <f>((1+I20)*(1+'General Data'!$M$25))-1</f>
        <v>1.6180920037047741E-3</v>
      </c>
      <c r="K20" s="253">
        <f t="shared" si="11"/>
        <v>630761.84401641914</v>
      </c>
      <c r="L20" s="253">
        <f t="shared" si="1"/>
        <v>531677.55034302338</v>
      </c>
      <c r="M20" s="241">
        <f t="shared" si="2"/>
        <v>544100.70750291704</v>
      </c>
      <c r="N20" s="242">
        <f>IF($A20&lt;=$N$4,N$15*'General Data'!$S12,"")</f>
        <v>20420</v>
      </c>
      <c r="O20" s="243">
        <f>IF(A20&lt;&gt;"",IF(O$15="",VLOOKUP(A20,'DOE Fuel Esc Rates'!$T$9:$W$38,4,TRUE),O$15),"")</f>
        <v>4.7210300429184393E-2</v>
      </c>
      <c r="P20" s="243">
        <f>((1+O20)*(1+'General Data'!$M$25))-1</f>
        <v>4.8257510729613484E-2</v>
      </c>
      <c r="Q20" s="253">
        <f t="shared" si="12"/>
        <v>22443.603603603598</v>
      </c>
      <c r="R20" s="253">
        <f t="shared" si="3"/>
        <v>17614.471377124632</v>
      </c>
      <c r="S20" s="241">
        <f t="shared" si="4"/>
        <v>19360.049621704544</v>
      </c>
      <c r="T20" s="242">
        <f t="shared" si="5"/>
        <v>0</v>
      </c>
      <c r="U20" s="245">
        <f t="shared" si="6"/>
        <v>0</v>
      </c>
      <c r="V20" s="246">
        <f>IF($A20&lt;=$N$4,VLOOKUP(A20,'DOE Fuel Esc Rates'!$T$9:$W$38,2,TRUE),"")</f>
        <v>2019</v>
      </c>
      <c r="W20" s="247">
        <f t="shared" si="7"/>
        <v>653205.44762002269</v>
      </c>
      <c r="X20" s="241">
        <f t="shared" si="8"/>
        <v>563460.75712462154</v>
      </c>
      <c r="Y20" s="248">
        <f>IF(A20&lt;&gt;"",SUM(X$15:X20),"")</f>
        <v>3248541.2882593586</v>
      </c>
      <c r="Z20" s="249">
        <f>IF(A20&lt;&gt;"",LCC0!Y20-Y20,"")</f>
        <v>20373.998519320972</v>
      </c>
      <c r="AA20" s="312">
        <f>IF(A20&lt;&gt;"",IF(Z20&gt;0,IF(SUM(AA$16:AA19)=0,A19+(-Z19)/(Z20-Z19),""),""),"")</f>
        <v>4.4895281977955666</v>
      </c>
      <c r="AB20" s="198"/>
      <c r="AC20" s="251">
        <f t="shared" si="9"/>
        <v>653205.44762002269</v>
      </c>
      <c r="AE20" s="198"/>
    </row>
    <row r="21" spans="1:31" x14ac:dyDescent="0.2">
      <c r="A21" s="176">
        <f t="shared" si="13"/>
        <v>6</v>
      </c>
      <c r="B21" s="56"/>
      <c r="C21" s="51">
        <v>0</v>
      </c>
      <c r="D21" s="252">
        <f t="shared" si="10"/>
        <v>0</v>
      </c>
      <c r="E21" s="56"/>
      <c r="F21" s="51">
        <v>0</v>
      </c>
      <c r="G21" s="241">
        <f t="shared" si="0"/>
        <v>0</v>
      </c>
      <c r="H21" s="242">
        <f>IF($A21&lt;=$N$4,H$15*'General Data'!$S13,"")</f>
        <v>616360</v>
      </c>
      <c r="I21" s="243">
        <f>IF(A21&lt;&gt;"",IF(I$15="",VLOOKUP(A21,'DOE Fuel Esc Rates'!$T$9:$W$38,3,TRUE),I$15),"")</f>
        <v>3.7025609379821578E-3</v>
      </c>
      <c r="J21" s="243">
        <f>((1+I21)*(1+'General Data'!$M$25))-1</f>
        <v>4.7062634989201158E-3</v>
      </c>
      <c r="K21" s="253">
        <f t="shared" si="11"/>
        <v>633097.27818124392</v>
      </c>
      <c r="L21" s="253">
        <f t="shared" si="1"/>
        <v>516191.79644953721</v>
      </c>
      <c r="M21" s="241">
        <f t="shared" si="2"/>
        <v>530209.00342606381</v>
      </c>
      <c r="N21" s="242">
        <f>IF($A21&lt;=$N$4,N$15*'General Data'!$S13,"")</f>
        <v>20420</v>
      </c>
      <c r="O21" s="243">
        <f>IF(A21&lt;&gt;"",IF(O$15="",VLOOKUP(A21,'DOE Fuel Esc Rates'!$T$9:$W$38,4,TRUE),O$15),"")</f>
        <v>3.5860655737704805E-2</v>
      </c>
      <c r="P21" s="243">
        <f>((1+O21)*(1+'General Data'!$M$25))-1</f>
        <v>3.6896516393442491E-2</v>
      </c>
      <c r="Q21" s="253">
        <f t="shared" si="12"/>
        <v>23248.445945945939</v>
      </c>
      <c r="R21" s="253">
        <f t="shared" si="3"/>
        <v>17101.428521480222</v>
      </c>
      <c r="S21" s="241">
        <f t="shared" si="4"/>
        <v>19470.207472090653</v>
      </c>
      <c r="T21" s="242">
        <f t="shared" si="5"/>
        <v>0</v>
      </c>
      <c r="U21" s="245">
        <f t="shared" si="6"/>
        <v>0</v>
      </c>
      <c r="V21" s="246">
        <f>IF($A21&lt;=$N$4,VLOOKUP(A21,'DOE Fuel Esc Rates'!$T$9:$W$38,2,TRUE),"")</f>
        <v>2020</v>
      </c>
      <c r="W21" s="247">
        <f t="shared" si="7"/>
        <v>656345.72412718984</v>
      </c>
      <c r="X21" s="241">
        <f t="shared" si="8"/>
        <v>549679.21089815442</v>
      </c>
      <c r="Y21" s="248">
        <f>IF(A21&lt;&gt;"",SUM(X$15:X21),"")</f>
        <v>3798220.499157513</v>
      </c>
      <c r="Z21" s="249">
        <f>IF(A21&lt;&gt;"",LCC0!Y21-Y21,"")</f>
        <v>59412.121097688098</v>
      </c>
      <c r="AA21" s="312" t="str">
        <f>IF(A21&lt;&gt;"",IF(Z21&gt;0,IF(SUM(AA$16:AA20)=0,A20+(-Z20)/(Z21-Z20),""),""),"")</f>
        <v/>
      </c>
      <c r="AB21" s="198"/>
      <c r="AC21" s="251">
        <f t="shared" si="9"/>
        <v>656345.72412718984</v>
      </c>
      <c r="AE21" s="198"/>
    </row>
    <row r="22" spans="1:31" x14ac:dyDescent="0.2">
      <c r="A22" s="176">
        <f t="shared" si="13"/>
        <v>7</v>
      </c>
      <c r="B22" s="56"/>
      <c r="C22" s="51">
        <v>0</v>
      </c>
      <c r="D22" s="252">
        <f t="shared" si="10"/>
        <v>0</v>
      </c>
      <c r="E22" s="56"/>
      <c r="F22" s="51">
        <v>0</v>
      </c>
      <c r="G22" s="241">
        <f t="shared" si="0"/>
        <v>0</v>
      </c>
      <c r="H22" s="242">
        <f>IF($A22&lt;=$N$4,H$15*'General Data'!$S14,"")</f>
        <v>616360</v>
      </c>
      <c r="I22" s="243">
        <f>IF(A22&lt;&gt;"",IF(I$15="",VLOOKUP(A22,'DOE Fuel Esc Rates'!$T$9:$W$38,3,TRUE),I$15),"")</f>
        <v>1.8444512757456177E-3</v>
      </c>
      <c r="J22" s="243">
        <f>((1+I22)*(1+'General Data'!$M$25))-1</f>
        <v>2.8462957270212197E-3</v>
      </c>
      <c r="K22" s="253">
        <f t="shared" si="11"/>
        <v>634264.99526365637</v>
      </c>
      <c r="L22" s="253">
        <f t="shared" si="1"/>
        <v>501157.0839315895</v>
      </c>
      <c r="M22" s="241">
        <f t="shared" si="2"/>
        <v>515715.48359111149</v>
      </c>
      <c r="N22" s="242">
        <f>IF($A22&lt;=$N$4,N$15*'General Data'!$S14,"")</f>
        <v>20420</v>
      </c>
      <c r="O22" s="243">
        <f>IF(A22&lt;&gt;"",IF(O$15="",VLOOKUP(A22,'DOE Fuel Esc Rates'!$T$9:$W$38,4,TRUE),O$15),"")</f>
        <v>2.0771513353115889E-2</v>
      </c>
      <c r="P22" s="243">
        <f>((1+O22)*(1+'General Data'!$M$25))-1</f>
        <v>2.1792284866468892E-2</v>
      </c>
      <c r="Q22" s="253">
        <f t="shared" si="12"/>
        <v>23731.35135135135</v>
      </c>
      <c r="R22" s="253">
        <f t="shared" si="3"/>
        <v>16603.328661631283</v>
      </c>
      <c r="S22" s="241">
        <f t="shared" si="4"/>
        <v>19295.76033649041</v>
      </c>
      <c r="T22" s="242">
        <f t="shared" si="5"/>
        <v>0</v>
      </c>
      <c r="U22" s="245">
        <f t="shared" si="6"/>
        <v>0</v>
      </c>
      <c r="V22" s="246">
        <f>IF($A22&lt;=$N$4,VLOOKUP(A22,'DOE Fuel Esc Rates'!$T$9:$W$38,2,TRUE),"")</f>
        <v>2021</v>
      </c>
      <c r="W22" s="247">
        <f t="shared" si="7"/>
        <v>657996.34661500773</v>
      </c>
      <c r="X22" s="241">
        <f t="shared" si="8"/>
        <v>535011.24392760196</v>
      </c>
      <c r="Y22" s="248">
        <f>IF(A22&lt;&gt;"",SUM(X$15:X22),"")</f>
        <v>4333231.7430851152</v>
      </c>
      <c r="Z22" s="249">
        <f>IF(A22&lt;&gt;"",LCC0!Y22-Y22,"")</f>
        <v>97468.970975461416</v>
      </c>
      <c r="AA22" s="312" t="str">
        <f>IF(A22&lt;&gt;"",IF(Z22&gt;0,IF(SUM(AA$16:AA21)=0,A21+(-Z21)/(Z22-Z21),""),""),"")</f>
        <v/>
      </c>
      <c r="AB22" s="198"/>
      <c r="AC22" s="251">
        <f t="shared" si="9"/>
        <v>657996.34661500773</v>
      </c>
      <c r="AE22" s="198"/>
    </row>
    <row r="23" spans="1:31" x14ac:dyDescent="0.2">
      <c r="A23" s="176">
        <f t="shared" si="13"/>
        <v>8</v>
      </c>
      <c r="B23" s="56"/>
      <c r="C23" s="51">
        <v>0</v>
      </c>
      <c r="D23" s="252">
        <f t="shared" si="10"/>
        <v>0</v>
      </c>
      <c r="E23" s="56" t="s">
        <v>50</v>
      </c>
      <c r="F23" s="51">
        <v>0</v>
      </c>
      <c r="G23" s="241">
        <f t="shared" si="0"/>
        <v>0</v>
      </c>
      <c r="H23" s="242">
        <f>IF($A23&lt;=$N$4,H$15*'General Data'!$S15,"")</f>
        <v>616360</v>
      </c>
      <c r="I23" s="243">
        <f>IF(A23&lt;&gt;"",IF(I$15="",VLOOKUP(A23,'DOE Fuel Esc Rates'!$T$9:$W$38,3,TRUE),I$15),"")</f>
        <v>-2.1478981282602172E-3</v>
      </c>
      <c r="J23" s="243">
        <f>((1+I23)*(1+'General Data'!$M$25))-1</f>
        <v>-1.1500460263885737E-3</v>
      </c>
      <c r="K23" s="253">
        <f t="shared" si="11"/>
        <v>632902.65866750863</v>
      </c>
      <c r="L23" s="253">
        <f t="shared" si="1"/>
        <v>486560.27566173748</v>
      </c>
      <c r="M23" s="241">
        <f t="shared" si="2"/>
        <v>499619.20317397226</v>
      </c>
      <c r="N23" s="242">
        <f>IF($A23&lt;=$N$4,N$15*'General Data'!$S15,"")</f>
        <v>20420</v>
      </c>
      <c r="O23" s="243">
        <f>IF(A23&lt;&gt;"",IF(O$15="",VLOOKUP(A23,'DOE Fuel Esc Rates'!$T$9:$W$38,4,TRUE),O$15),"")</f>
        <v>1.744186046511631E-2</v>
      </c>
      <c r="P23" s="243">
        <f>((1+O23)*(1+'General Data'!$M$25))-1</f>
        <v>1.8459302325581239E-2</v>
      </c>
      <c r="Q23" s="253">
        <f t="shared" si="12"/>
        <v>24145.27027027027</v>
      </c>
      <c r="R23" s="253">
        <f t="shared" si="3"/>
        <v>16119.736564690569</v>
      </c>
      <c r="S23" s="241">
        <f t="shared" si="4"/>
        <v>19060.499316357091</v>
      </c>
      <c r="T23" s="242">
        <f t="shared" si="5"/>
        <v>0</v>
      </c>
      <c r="U23" s="245">
        <f t="shared" si="6"/>
        <v>0</v>
      </c>
      <c r="V23" s="246">
        <f>IF($A23&lt;=$N$4,VLOOKUP(A23,'DOE Fuel Esc Rates'!$T$9:$W$38,2,TRUE),"")</f>
        <v>2022</v>
      </c>
      <c r="W23" s="247">
        <f t="shared" si="7"/>
        <v>657047.92893777892</v>
      </c>
      <c r="X23" s="241">
        <f t="shared" si="8"/>
        <v>518679.70249032933</v>
      </c>
      <c r="Y23" s="248">
        <f>IF(A23&lt;&gt;"",SUM(X$15:X23),"")</f>
        <v>4851911.445575445</v>
      </c>
      <c r="Z23" s="249">
        <f>IF(A23&lt;&gt;"",LCC0!Y23-Y23,"")</f>
        <v>134426.07064635307</v>
      </c>
      <c r="AA23" s="312" t="str">
        <f>IF(A23&lt;&gt;"",IF(Z23&gt;0,IF(SUM(AA$16:AA22)=0,A22+(-Z22)/(Z23-Z22),""),""),"")</f>
        <v/>
      </c>
      <c r="AB23" s="198"/>
      <c r="AC23" s="251">
        <f t="shared" si="9"/>
        <v>657047.92893777892</v>
      </c>
      <c r="AE23" s="198"/>
    </row>
    <row r="24" spans="1:31" x14ac:dyDescent="0.2">
      <c r="A24" s="176">
        <f t="shared" si="13"/>
        <v>9</v>
      </c>
      <c r="B24" s="56"/>
      <c r="C24" s="51">
        <v>0</v>
      </c>
      <c r="D24" s="252">
        <f t="shared" si="10"/>
        <v>0</v>
      </c>
      <c r="E24" s="56"/>
      <c r="F24" s="51">
        <v>0</v>
      </c>
      <c r="G24" s="241">
        <f t="shared" si="0"/>
        <v>0</v>
      </c>
      <c r="H24" s="242">
        <f>IF($A24&lt;=$N$4,H$15*'General Data'!$S16,"")</f>
        <v>616360</v>
      </c>
      <c r="I24" s="243">
        <f>IF(A24&lt;&gt;"",IF(I$15="",VLOOKUP(A24,'DOE Fuel Esc Rates'!$T$9:$W$38,3,TRUE),I$15),"")</f>
        <v>-2.4600246002461912E-3</v>
      </c>
      <c r="J24" s="243">
        <f>((1+I24)*(1+'General Data'!$M$25))-1</f>
        <v>-1.4624846248465495E-3</v>
      </c>
      <c r="K24" s="253">
        <f t="shared" si="11"/>
        <v>631345.70255762537</v>
      </c>
      <c r="L24" s="253">
        <f t="shared" si="1"/>
        <v>472388.61714731791</v>
      </c>
      <c r="M24" s="241">
        <f t="shared" si="2"/>
        <v>483873.91033340665</v>
      </c>
      <c r="N24" s="242">
        <f>IF($A24&lt;=$N$4,N$15*'General Data'!$S16,"")</f>
        <v>20420</v>
      </c>
      <c r="O24" s="243">
        <f>IF(A24&lt;&gt;"",IF(O$15="",VLOOKUP(A24,'DOE Fuel Esc Rates'!$T$9:$W$38,4,TRUE),O$15),"")</f>
        <v>1.0476190476190528E-2</v>
      </c>
      <c r="P24" s="243">
        <f>((1+O24)*(1+'General Data'!$M$25))-1</f>
        <v>1.1486666666666645E-2</v>
      </c>
      <c r="Q24" s="253">
        <f t="shared" si="12"/>
        <v>24398.220720720721</v>
      </c>
      <c r="R24" s="253">
        <f t="shared" si="3"/>
        <v>15650.229674456863</v>
      </c>
      <c r="S24" s="241">
        <f t="shared" si="4"/>
        <v>18699.204599773348</v>
      </c>
      <c r="T24" s="242">
        <f t="shared" si="5"/>
        <v>0</v>
      </c>
      <c r="U24" s="245">
        <f t="shared" si="6"/>
        <v>0</v>
      </c>
      <c r="V24" s="246">
        <f>IF($A24&lt;=$N$4,VLOOKUP(A24,'DOE Fuel Esc Rates'!$T$9:$W$38,2,TRUE),"")</f>
        <v>2023</v>
      </c>
      <c r="W24" s="247">
        <f t="shared" si="7"/>
        <v>655743.92327834608</v>
      </c>
      <c r="X24" s="241">
        <f t="shared" si="8"/>
        <v>502573.11493317998</v>
      </c>
      <c r="Y24" s="248">
        <f>IF(A24&lt;&gt;"",SUM(X$15:X24),"")</f>
        <v>5354484.5605086247</v>
      </c>
      <c r="Z24" s="249">
        <f>IF(A24&lt;&gt;"",LCC0!Y24-Y24,"")</f>
        <v>170275.92657746747</v>
      </c>
      <c r="AA24" s="312" t="str">
        <f>IF(A24&lt;&gt;"",IF(Z24&gt;0,IF(SUM(AA$16:AA23)=0,A23+(-Z23)/(Z24-Z23),""),""),"")</f>
        <v/>
      </c>
      <c r="AB24" s="198"/>
      <c r="AC24" s="251">
        <f t="shared" si="9"/>
        <v>655743.92327834608</v>
      </c>
      <c r="AE24" s="198"/>
    </row>
    <row r="25" spans="1:31" x14ac:dyDescent="0.2">
      <c r="A25" s="176">
        <f t="shared" si="13"/>
        <v>10</v>
      </c>
      <c r="B25" s="56"/>
      <c r="C25" s="51">
        <v>0</v>
      </c>
      <c r="D25" s="252">
        <f t="shared" si="10"/>
        <v>0</v>
      </c>
      <c r="E25" s="56"/>
      <c r="F25" s="51">
        <v>0</v>
      </c>
      <c r="G25" s="241">
        <f t="shared" si="0"/>
        <v>0</v>
      </c>
      <c r="H25" s="242">
        <f>IF($A25&lt;=$N$4,H$15*'General Data'!$S17,"")</f>
        <v>616360</v>
      </c>
      <c r="I25" s="243">
        <f>IF(A25&lt;&gt;"",IF(I$15="",VLOOKUP(A25,'DOE Fuel Esc Rates'!$T$9:$W$38,3,TRUE),I$15),"")</f>
        <v>2.1578298397040285E-3</v>
      </c>
      <c r="J25" s="243">
        <f>((1+I25)*(1+'General Data'!$M$25))-1</f>
        <v>3.159987669543618E-3</v>
      </c>
      <c r="K25" s="253">
        <f t="shared" si="11"/>
        <v>632708.0391537731</v>
      </c>
      <c r="L25" s="253">
        <f t="shared" si="1"/>
        <v>458629.72538574552</v>
      </c>
      <c r="M25" s="241">
        <f t="shared" si="2"/>
        <v>470794.20184056152</v>
      </c>
      <c r="N25" s="242">
        <f>IF($A25&lt;=$N$4,N$15*'General Data'!$S17,"")</f>
        <v>20420</v>
      </c>
      <c r="O25" s="243">
        <f>IF(A25&lt;&gt;"",IF(O$15="",VLOOKUP(A25,'DOE Fuel Esc Rates'!$T$9:$W$38,4,TRUE),O$15),"")</f>
        <v>1.6965127238454336E-2</v>
      </c>
      <c r="P25" s="243">
        <f>((1+O25)*(1+'General Data'!$M$25))-1</f>
        <v>1.7982092365692592E-2</v>
      </c>
      <c r="Q25" s="253">
        <f t="shared" si="12"/>
        <v>24812.139639639641</v>
      </c>
      <c r="R25" s="253">
        <f t="shared" si="3"/>
        <v>15194.397742191128</v>
      </c>
      <c r="S25" s="241">
        <f t="shared" si="4"/>
        <v>18462.562121423682</v>
      </c>
      <c r="T25" s="242">
        <f t="shared" si="5"/>
        <v>0</v>
      </c>
      <c r="U25" s="245">
        <f t="shared" si="6"/>
        <v>0</v>
      </c>
      <c r="V25" s="246">
        <f>IF($A25&lt;=$N$4,VLOOKUP(A25,'DOE Fuel Esc Rates'!$T$9:$W$38,2,TRUE),"")</f>
        <v>2024</v>
      </c>
      <c r="W25" s="247">
        <f t="shared" si="7"/>
        <v>657520.17879341275</v>
      </c>
      <c r="X25" s="241">
        <f t="shared" si="8"/>
        <v>489256.76396198518</v>
      </c>
      <c r="Y25" s="248">
        <f>IF(A25&lt;&gt;"",SUM(X$15:X25),"")</f>
        <v>5843741.3244706094</v>
      </c>
      <c r="Z25" s="249">
        <f>IF(A25&lt;&gt;"",LCC0!Y25-Y25,"")</f>
        <v>205221.22298181243</v>
      </c>
      <c r="AA25" s="312" t="str">
        <f>IF(A25&lt;&gt;"",IF(Z25&gt;0,IF(SUM(AA$16:AA24)=0,A24+(-Z24)/(Z25-Z24),""),""),"")</f>
        <v/>
      </c>
      <c r="AB25" s="198"/>
      <c r="AC25" s="251">
        <f t="shared" si="9"/>
        <v>657520.17879341275</v>
      </c>
      <c r="AE25" s="198"/>
    </row>
    <row r="26" spans="1:31" x14ac:dyDescent="0.2">
      <c r="A26" s="176">
        <f t="shared" si="13"/>
        <v>11</v>
      </c>
      <c r="B26" s="56"/>
      <c r="C26" s="51">
        <v>0</v>
      </c>
      <c r="D26" s="252">
        <f t="shared" si="10"/>
        <v>0</v>
      </c>
      <c r="E26" s="56"/>
      <c r="F26" s="51">
        <v>0</v>
      </c>
      <c r="G26" s="241">
        <f t="shared" si="0"/>
        <v>0</v>
      </c>
      <c r="H26" s="242">
        <f>IF($A26&lt;=$N$4,H$15*'General Data'!$S18,"")</f>
        <v>616360</v>
      </c>
      <c r="I26" s="243">
        <f>IF(A26&lt;&gt;"",IF(I$15="",VLOOKUP(A26,'DOE Fuel Esc Rates'!$T$9:$W$38,3,TRUE),I$15),"")</f>
        <v>3.9987696093510827E-3</v>
      </c>
      <c r="J26" s="243">
        <f>((1+I26)*(1+'General Data'!$M$25))-1</f>
        <v>5.0027683789604094E-3</v>
      </c>
      <c r="K26" s="253">
        <f t="shared" si="11"/>
        <v>635238.09283233329</v>
      </c>
      <c r="L26" s="253">
        <f t="shared" si="1"/>
        <v>445271.57804441312</v>
      </c>
      <c r="M26" s="241">
        <f t="shared" si="2"/>
        <v>458909.51396809728</v>
      </c>
      <c r="N26" s="242">
        <f>IF($A26&lt;=$N$4,N$15*'General Data'!$S18,"")</f>
        <v>20420</v>
      </c>
      <c r="O26" s="243">
        <f>IF(A26&lt;&gt;"",IF(O$15="",VLOOKUP(A26,'DOE Fuel Esc Rates'!$T$9:$W$38,4,TRUE),O$15),"")</f>
        <v>2.1316033364226161E-2</v>
      </c>
      <c r="P26" s="243">
        <f>((1+O26)*(1+'General Data'!$M$25))-1</f>
        <v>2.2337349397590245E-2</v>
      </c>
      <c r="Q26" s="253">
        <f t="shared" si="12"/>
        <v>25341.036036036039</v>
      </c>
      <c r="R26" s="253">
        <f t="shared" si="3"/>
        <v>14751.842468146726</v>
      </c>
      <c r="S26" s="241">
        <f t="shared" si="4"/>
        <v>18306.903603488394</v>
      </c>
      <c r="T26" s="242">
        <f t="shared" si="5"/>
        <v>0</v>
      </c>
      <c r="U26" s="245">
        <f t="shared" si="6"/>
        <v>0</v>
      </c>
      <c r="V26" s="246">
        <f>IF($A26&lt;=$N$4,VLOOKUP(A26,'DOE Fuel Esc Rates'!$T$9:$W$38,2,TRUE),"")</f>
        <v>2025</v>
      </c>
      <c r="W26" s="247">
        <f t="shared" si="7"/>
        <v>660579.12886836939</v>
      </c>
      <c r="X26" s="241">
        <f t="shared" si="8"/>
        <v>477216.41757158568</v>
      </c>
      <c r="Y26" s="248">
        <f>IF(A26&lt;&gt;"",SUM(X$15:X26),"")</f>
        <v>6320957.7420421951</v>
      </c>
      <c r="Z26" s="249">
        <f>IF(A26&lt;&gt;"",LCC0!Y26-Y26,"")</f>
        <v>239358.84931353945</v>
      </c>
      <c r="AA26" s="312" t="str">
        <f>IF(A26&lt;&gt;"",IF(Z26&gt;0,IF(SUM(AA$16:AA25)=0,A25+(-Z25)/(Z26-Z25),""),""),"")</f>
        <v/>
      </c>
      <c r="AB26" s="198"/>
      <c r="AC26" s="251">
        <f t="shared" si="9"/>
        <v>660579.12886836939</v>
      </c>
      <c r="AE26" s="198"/>
    </row>
    <row r="27" spans="1:31" x14ac:dyDescent="0.2">
      <c r="A27" s="176">
        <f t="shared" si="13"/>
        <v>12</v>
      </c>
      <c r="B27" s="56"/>
      <c r="C27" s="51">
        <v>0</v>
      </c>
      <c r="D27" s="252">
        <f t="shared" si="10"/>
        <v>0</v>
      </c>
      <c r="E27" s="56"/>
      <c r="F27" s="51">
        <v>0</v>
      </c>
      <c r="G27" s="241">
        <f t="shared" si="0"/>
        <v>0</v>
      </c>
      <c r="H27" s="242">
        <f>IF($A27&lt;=$N$4,H$15*'General Data'!$S19,"")</f>
        <v>616360</v>
      </c>
      <c r="I27" s="243">
        <f>IF(A27&lt;&gt;"",IF(I$15="",VLOOKUP(A27,'DOE Fuel Esc Rates'!$T$9:$W$38,3,TRUE),I$15),"")</f>
        <v>1.5318627450979783E-3</v>
      </c>
      <c r="J27" s="243">
        <f>((1+I27)*(1+'General Data'!$M$25))-1</f>
        <v>2.5333946078429648E-3</v>
      </c>
      <c r="K27" s="253">
        <f t="shared" si="11"/>
        <v>636211.19040101022</v>
      </c>
      <c r="L27" s="253">
        <f t="shared" si="1"/>
        <v>432302.50295574096</v>
      </c>
      <c r="M27" s="241">
        <f t="shared" si="2"/>
        <v>446225.72850088944</v>
      </c>
      <c r="N27" s="242">
        <f>IF($A27&lt;=$N$4,N$15*'General Data'!$S19,"")</f>
        <v>20420</v>
      </c>
      <c r="O27" s="243">
        <f>IF(A27&lt;&gt;"",IF(O$15="",VLOOKUP(A27,'DOE Fuel Esc Rates'!$T$9:$W$38,4,TRUE),O$15),"")</f>
        <v>5.4446460980037692E-3</v>
      </c>
      <c r="P27" s="243">
        <f>((1+O27)*(1+'General Data'!$M$25))-1</f>
        <v>6.4500907441016331E-3</v>
      </c>
      <c r="Q27" s="253">
        <f t="shared" si="12"/>
        <v>25479.009009009016</v>
      </c>
      <c r="R27" s="253">
        <f t="shared" si="3"/>
        <v>14322.177153540513</v>
      </c>
      <c r="S27" s="241">
        <f t="shared" si="4"/>
        <v>17870.464286174429</v>
      </c>
      <c r="T27" s="242">
        <f t="shared" si="5"/>
        <v>0</v>
      </c>
      <c r="U27" s="245">
        <f t="shared" si="6"/>
        <v>0</v>
      </c>
      <c r="V27" s="246">
        <f>IF($A27&lt;=$N$4,VLOOKUP(A27,'DOE Fuel Esc Rates'!$T$9:$W$38,2,TRUE),"")</f>
        <v>2026</v>
      </c>
      <c r="W27" s="247">
        <f t="shared" si="7"/>
        <v>661690.19941001921</v>
      </c>
      <c r="X27" s="241">
        <f t="shared" si="8"/>
        <v>464096.19278706389</v>
      </c>
      <c r="Y27" s="248">
        <f>IF(A27&lt;&gt;"",SUM(X$15:X27),"")</f>
        <v>6785053.9348292593</v>
      </c>
      <c r="Z27" s="249">
        <f>IF(A27&lt;&gt;"",LCC0!Y27-Y27,"")</f>
        <v>272569.63485804759</v>
      </c>
      <c r="AA27" s="312" t="str">
        <f>IF(A27&lt;&gt;"",IF(Z27&gt;0,IF(SUM(AA$16:AA26)=0,A26+(-Z26)/(Z27-Z26),""),""),"")</f>
        <v/>
      </c>
      <c r="AB27" s="198"/>
      <c r="AC27" s="251">
        <f t="shared" si="9"/>
        <v>661690.19941001921</v>
      </c>
      <c r="AE27" s="198"/>
    </row>
    <row r="28" spans="1:31" x14ac:dyDescent="0.2">
      <c r="A28" s="176">
        <f t="shared" si="13"/>
        <v>13</v>
      </c>
      <c r="B28" s="56"/>
      <c r="C28" s="51">
        <v>0</v>
      </c>
      <c r="D28" s="252">
        <f t="shared" si="10"/>
        <v>0</v>
      </c>
      <c r="E28" s="56"/>
      <c r="F28" s="51">
        <v>0</v>
      </c>
      <c r="G28" s="241">
        <f t="shared" si="0"/>
        <v>0</v>
      </c>
      <c r="H28" s="242">
        <f>IF($A28&lt;=$N$4,H$15*'General Data'!$S20,"")</f>
        <v>616360</v>
      </c>
      <c r="I28" s="243">
        <f>IF(A28&lt;&gt;"",IF(I$15="",VLOOKUP(A28,'DOE Fuel Esc Rates'!$T$9:$W$38,3,TRUE),I$15),"")</f>
        <v>-4.282655246252709E-3</v>
      </c>
      <c r="J28" s="243">
        <f>((1+I28)*(1+'General Data'!$M$25))-1</f>
        <v>-3.2869379014990319E-3</v>
      </c>
      <c r="K28" s="253">
        <f t="shared" si="11"/>
        <v>633486.51720871462</v>
      </c>
      <c r="L28" s="253">
        <f t="shared" si="1"/>
        <v>419711.16791819513</v>
      </c>
      <c r="M28" s="241">
        <f t="shared" si="2"/>
        <v>431373.49276088557</v>
      </c>
      <c r="N28" s="242">
        <f>IF($A28&lt;=$N$4,N$15*'General Data'!$S20,"")</f>
        <v>20420</v>
      </c>
      <c r="O28" s="243">
        <f>IF(A28&lt;&gt;"",IF(O$15="",VLOOKUP(A28,'DOE Fuel Esc Rates'!$T$9:$W$38,4,TRUE),O$15),"")</f>
        <v>-7.2202166064981865E-3</v>
      </c>
      <c r="P28" s="243">
        <f>((1+O28)*(1+'General Data'!$M$25))-1</f>
        <v>-6.2274368231047816E-3</v>
      </c>
      <c r="Q28" s="253">
        <f t="shared" si="12"/>
        <v>25295.045045045052</v>
      </c>
      <c r="R28" s="253">
        <f t="shared" si="3"/>
        <v>13905.026362660692</v>
      </c>
      <c r="S28" s="241">
        <f t="shared" si="4"/>
        <v>17224.694818611224</v>
      </c>
      <c r="T28" s="242">
        <f t="shared" si="5"/>
        <v>0</v>
      </c>
      <c r="U28" s="245">
        <f t="shared" si="6"/>
        <v>0</v>
      </c>
      <c r="V28" s="246">
        <f>IF($A28&lt;=$N$4,VLOOKUP(A28,'DOE Fuel Esc Rates'!$T$9:$W$38,2,TRUE),"")</f>
        <v>2027</v>
      </c>
      <c r="W28" s="247">
        <f t="shared" si="7"/>
        <v>658781.56225375971</v>
      </c>
      <c r="X28" s="241">
        <f t="shared" si="8"/>
        <v>448598.18757949676</v>
      </c>
      <c r="Y28" s="248">
        <f>IF(A28&lt;&gt;"",SUM(X$15:X28),"")</f>
        <v>7233652.1224087561</v>
      </c>
      <c r="Z28" s="249">
        <f>IF(A28&lt;&gt;"",LCC0!Y28-Y28,"")</f>
        <v>304662.79827135708</v>
      </c>
      <c r="AA28" s="312" t="str">
        <f>IF(A28&lt;&gt;"",IF(Z28&gt;0,IF(SUM(AA$16:AA27)=0,A27+(-Z27)/(Z28-Z27),""),""),"")</f>
        <v/>
      </c>
      <c r="AB28" s="198"/>
      <c r="AC28" s="251">
        <f t="shared" si="9"/>
        <v>658781.56225375971</v>
      </c>
      <c r="AE28" s="198"/>
    </row>
    <row r="29" spans="1:31" x14ac:dyDescent="0.2">
      <c r="A29" s="176">
        <f t="shared" si="13"/>
        <v>14</v>
      </c>
      <c r="B29" s="56"/>
      <c r="C29" s="51">
        <v>0</v>
      </c>
      <c r="D29" s="252">
        <f t="shared" si="10"/>
        <v>0</v>
      </c>
      <c r="E29" s="56"/>
      <c r="F29" s="51">
        <v>0</v>
      </c>
      <c r="G29" s="241">
        <f t="shared" si="0"/>
        <v>0</v>
      </c>
      <c r="H29" s="242">
        <f>IF($A29&lt;=$N$4,H$15*'General Data'!$S21,"")</f>
        <v>616360</v>
      </c>
      <c r="I29" s="243">
        <f>IF(A29&lt;&gt;"",IF(I$15="",VLOOKUP(A29,'DOE Fuel Esc Rates'!$T$9:$W$38,3,TRUE),I$15),"")</f>
        <v>-7.0660522273424675E-3</v>
      </c>
      <c r="J29" s="243">
        <f>((1+I29)*(1+'General Data'!$M$25))-1</f>
        <v>-6.0731182795699112E-3</v>
      </c>
      <c r="K29" s="253">
        <f t="shared" si="11"/>
        <v>629010.26839280059</v>
      </c>
      <c r="L29" s="253">
        <f t="shared" si="1"/>
        <v>407486.57079436415</v>
      </c>
      <c r="M29" s="241">
        <f t="shared" si="2"/>
        <v>415849.88847722911</v>
      </c>
      <c r="N29" s="242">
        <f>IF($A29&lt;=$N$4,N$15*'General Data'!$S21,"")</f>
        <v>20420</v>
      </c>
      <c r="O29" s="243">
        <f>IF(A29&lt;&gt;"",IF(O$15="",VLOOKUP(A29,'DOE Fuel Esc Rates'!$T$9:$W$38,4,TRUE),O$15),"")</f>
        <v>-4.5454545454546302E-3</v>
      </c>
      <c r="P29" s="243">
        <f>((1+O29)*(1+'General Data'!$M$25))-1</f>
        <v>-3.5500000000001641E-3</v>
      </c>
      <c r="Q29" s="253">
        <f t="shared" si="12"/>
        <v>25180.06756756757</v>
      </c>
      <c r="R29" s="253">
        <f t="shared" si="3"/>
        <v>13500.025594816205</v>
      </c>
      <c r="S29" s="241">
        <f t="shared" si="4"/>
        <v>16646.99102063485</v>
      </c>
      <c r="T29" s="242">
        <f t="shared" si="5"/>
        <v>0</v>
      </c>
      <c r="U29" s="245">
        <f t="shared" si="6"/>
        <v>0</v>
      </c>
      <c r="V29" s="246">
        <f>IF($A29&lt;=$N$4,VLOOKUP(A29,'DOE Fuel Esc Rates'!$T$9:$W$38,2,TRUE),"")</f>
        <v>2028</v>
      </c>
      <c r="W29" s="247">
        <f t="shared" si="7"/>
        <v>654190.33596036816</v>
      </c>
      <c r="X29" s="241">
        <f t="shared" si="8"/>
        <v>432496.87949786393</v>
      </c>
      <c r="Y29" s="248">
        <f>IF(A29&lt;&gt;"",SUM(X$15:X29),"")</f>
        <v>7666149.0019066203</v>
      </c>
      <c r="Z29" s="249">
        <f>IF(A29&lt;&gt;"",LCC0!Y29-Y29,"")</f>
        <v>335611.15721285995</v>
      </c>
      <c r="AA29" s="312" t="str">
        <f>IF(A29&lt;&gt;"",IF(Z29&gt;0,IF(SUM(AA$16:AA28)=0,A28+(-Z28)/(Z29-Z28),""),""),"")</f>
        <v/>
      </c>
      <c r="AB29" s="198"/>
      <c r="AC29" s="251">
        <f t="shared" si="9"/>
        <v>654190.33596036816</v>
      </c>
      <c r="AE29" s="198"/>
    </row>
    <row r="30" spans="1:31" x14ac:dyDescent="0.2">
      <c r="A30" s="176">
        <f t="shared" si="13"/>
        <v>15</v>
      </c>
      <c r="B30" s="56" t="s">
        <v>51</v>
      </c>
      <c r="C30" s="51">
        <v>0</v>
      </c>
      <c r="D30" s="252">
        <f t="shared" si="10"/>
        <v>0</v>
      </c>
      <c r="E30" s="56"/>
      <c r="F30" s="51">
        <v>0</v>
      </c>
      <c r="G30" s="241">
        <f t="shared" si="0"/>
        <v>0</v>
      </c>
      <c r="H30" s="242">
        <f>IF($A30&lt;=$N$4,H$15*'General Data'!$S22,"")</f>
        <v>616360</v>
      </c>
      <c r="I30" s="243">
        <f>IF(A30&lt;&gt;"",IF(I$15="",VLOOKUP(A30,'DOE Fuel Esc Rates'!$T$9:$W$38,3,TRUE),I$15),"")</f>
        <v>-2.7846534653466204E-3</v>
      </c>
      <c r="J30" s="243">
        <f>((1+I30)*(1+'General Data'!$M$25))-1</f>
        <v>-1.7874381188121014E-3</v>
      </c>
      <c r="K30" s="253">
        <f t="shared" si="11"/>
        <v>627258.69276918191</v>
      </c>
      <c r="L30" s="253">
        <f t="shared" si="1"/>
        <v>395618.02989744092</v>
      </c>
      <c r="M30" s="241">
        <f t="shared" si="2"/>
        <v>402613.48606234655</v>
      </c>
      <c r="N30" s="242">
        <f>IF($A30&lt;=$N$4,N$15*'General Data'!$S22,"")</f>
        <v>20420</v>
      </c>
      <c r="O30" s="243">
        <f>IF(A30&lt;&gt;"",IF(O$15="",VLOOKUP(A30,'DOE Fuel Esc Rates'!$T$9:$W$38,4,TRUE),O$15),"")</f>
        <v>2.73972602739736E-3</v>
      </c>
      <c r="P30" s="243">
        <f>((1+O30)*(1+'General Data'!$M$25))-1</f>
        <v>3.7424657534246286E-3</v>
      </c>
      <c r="Q30" s="253">
        <f t="shared" si="12"/>
        <v>25249.054054054061</v>
      </c>
      <c r="R30" s="253">
        <f t="shared" si="3"/>
        <v>13106.820965840974</v>
      </c>
      <c r="S30" s="241">
        <f t="shared" si="4"/>
        <v>16206.407005060129</v>
      </c>
      <c r="T30" s="242">
        <f t="shared" si="5"/>
        <v>0</v>
      </c>
      <c r="U30" s="245">
        <f t="shared" si="6"/>
        <v>0</v>
      </c>
      <c r="V30" s="246">
        <f>IF($A30&lt;=$N$4,VLOOKUP(A30,'DOE Fuel Esc Rates'!$T$9:$W$38,2,TRUE),"")</f>
        <v>2029</v>
      </c>
      <c r="W30" s="247">
        <f t="shared" si="7"/>
        <v>652507.746823236</v>
      </c>
      <c r="X30" s="241">
        <f t="shared" si="8"/>
        <v>418819.89306740667</v>
      </c>
      <c r="Y30" s="248">
        <f>IF(A30&lt;&gt;"",SUM(X$15:X30),"")</f>
        <v>8084968.8949740268</v>
      </c>
      <c r="Z30" s="249">
        <f>IF(A30&lt;&gt;"",LCC0!Y30-Y30,"")</f>
        <v>365595.86237267964</v>
      </c>
      <c r="AA30" s="312" t="str">
        <f>IF(A30&lt;&gt;"",IF(Z30&gt;0,IF(SUM(AA$16:AA29)=0,A29+(-Z29)/(Z30-Z29),""),""),"")</f>
        <v/>
      </c>
      <c r="AB30" s="198"/>
      <c r="AC30" s="251">
        <f t="shared" si="9"/>
        <v>652507.746823236</v>
      </c>
      <c r="AE30" s="198"/>
    </row>
    <row r="31" spans="1:31" x14ac:dyDescent="0.2">
      <c r="A31" s="176">
        <f t="shared" si="13"/>
        <v>16</v>
      </c>
      <c r="B31" s="56"/>
      <c r="C31" s="51">
        <v>0</v>
      </c>
      <c r="D31" s="252">
        <f t="shared" si="10"/>
        <v>0</v>
      </c>
      <c r="E31" s="56"/>
      <c r="F31" s="51">
        <v>0</v>
      </c>
      <c r="G31" s="241">
        <f t="shared" si="0"/>
        <v>0</v>
      </c>
      <c r="H31" s="242">
        <f>IF($A31&lt;=$N$4,H$15*'General Data'!$S23,"")</f>
        <v>616360</v>
      </c>
      <c r="I31" s="243">
        <f>IF(A31&lt;&gt;"",IF(I$15="",VLOOKUP(A31,'DOE Fuel Esc Rates'!$T$9:$W$38,3,TRUE),I$15),"")</f>
        <v>-1.2410797393732631E-3</v>
      </c>
      <c r="J31" s="243">
        <f>((1+I31)*(1+'General Data'!$M$25))-1</f>
        <v>-2.4232081911279568E-4</v>
      </c>
      <c r="K31" s="253">
        <f t="shared" si="11"/>
        <v>626480.21471424028</v>
      </c>
      <c r="L31" s="253">
        <f t="shared" si="1"/>
        <v>384095.17465770966</v>
      </c>
      <c r="M31" s="241">
        <f t="shared" si="2"/>
        <v>390401.75788543315</v>
      </c>
      <c r="N31" s="242">
        <f>IF($A31&lt;=$N$4,N$15*'General Data'!$S23,"")</f>
        <v>20420</v>
      </c>
      <c r="O31" s="243">
        <f>IF(A31&lt;&gt;"",IF(O$15="",VLOOKUP(A31,'DOE Fuel Esc Rates'!$T$9:$W$38,4,TRUE),O$15),"")</f>
        <v>8.1967213114753079E-3</v>
      </c>
      <c r="P31" s="243">
        <f>((1+O31)*(1+'General Data'!$M$25))-1</f>
        <v>9.2049180327866686E-3</v>
      </c>
      <c r="Q31" s="253">
        <f t="shared" si="12"/>
        <v>25456.013513513517</v>
      </c>
      <c r="R31" s="253">
        <f t="shared" si="3"/>
        <v>12725.068898874735</v>
      </c>
      <c r="S31" s="241">
        <f t="shared" si="4"/>
        <v>15863.346025962088</v>
      </c>
      <c r="T31" s="242">
        <f t="shared" si="5"/>
        <v>0</v>
      </c>
      <c r="U31" s="245">
        <f t="shared" si="6"/>
        <v>0</v>
      </c>
      <c r="V31" s="246">
        <f>IF($A31&lt;=$N$4,VLOOKUP(A31,'DOE Fuel Esc Rates'!$T$9:$W$38,2,TRUE),"")</f>
        <v>2030</v>
      </c>
      <c r="W31" s="247">
        <f t="shared" si="7"/>
        <v>651936.22822775377</v>
      </c>
      <c r="X31" s="241">
        <f t="shared" si="8"/>
        <v>406265.10391139524</v>
      </c>
      <c r="Y31" s="248">
        <f>IF(A31&lt;&gt;"",SUM(X$15:X31),"")</f>
        <v>8491233.9988854229</v>
      </c>
      <c r="Z31" s="249">
        <f>IF(A31&lt;&gt;"",LCC0!Y31-Y31,"")</f>
        <v>394706.73076131195</v>
      </c>
      <c r="AA31" s="312" t="str">
        <f>IF(A31&lt;&gt;"",IF(Z31&gt;0,IF(SUM(AA$16:AA30)=0,A30+(-Z30)/(Z31-Z30),""),""),"")</f>
        <v/>
      </c>
      <c r="AB31" s="198"/>
      <c r="AC31" s="251">
        <f t="shared" si="9"/>
        <v>651936.22822775377</v>
      </c>
      <c r="AE31" s="198"/>
    </row>
    <row r="32" spans="1:31" x14ac:dyDescent="0.2">
      <c r="A32" s="176">
        <f t="shared" si="13"/>
        <v>17</v>
      </c>
      <c r="B32" s="56"/>
      <c r="C32" s="51">
        <v>0</v>
      </c>
      <c r="D32" s="252">
        <f t="shared" si="10"/>
        <v>0</v>
      </c>
      <c r="E32" s="56"/>
      <c r="F32" s="51">
        <v>0</v>
      </c>
      <c r="G32" s="241">
        <f t="shared" si="0"/>
        <v>0</v>
      </c>
      <c r="H32" s="242">
        <f>IF($A32&lt;=$N$4,H$15*'General Data'!$S24,"")</f>
        <v>616360</v>
      </c>
      <c r="I32" s="243">
        <f>IF(A32&lt;&gt;"",IF(I$15="",VLOOKUP(A32,'DOE Fuel Esc Rates'!$T$9:$W$38,3,TRUE),I$15),"")</f>
        <v>0</v>
      </c>
      <c r="J32" s="243">
        <f>((1+I32)*(1+'General Data'!$M$25))-1</f>
        <v>9.9999999999988987E-4</v>
      </c>
      <c r="K32" s="253">
        <f t="shared" si="11"/>
        <v>626480.21471424028</v>
      </c>
      <c r="L32" s="253">
        <f t="shared" si="1"/>
        <v>372907.93656088319</v>
      </c>
      <c r="M32" s="241">
        <f t="shared" si="2"/>
        <v>379030.83289847878</v>
      </c>
      <c r="N32" s="242">
        <f>IF($A32&lt;=$N$4,N$15*'General Data'!$S24,"")</f>
        <v>20420</v>
      </c>
      <c r="O32" s="243">
        <f>IF(A32&lt;&gt;"",IF(O$15="",VLOOKUP(A32,'DOE Fuel Esc Rates'!$T$9:$W$38,4,TRUE),O$15),"")</f>
        <v>1.6260162601625883E-2</v>
      </c>
      <c r="P32" s="243">
        <f>((1+O32)*(1+'General Data'!$M$25))-1</f>
        <v>1.7276422764227473E-2</v>
      </c>
      <c r="Q32" s="253">
        <f t="shared" si="12"/>
        <v>25869.932432432433</v>
      </c>
      <c r="R32" s="253">
        <f t="shared" si="3"/>
        <v>12354.435824150229</v>
      </c>
      <c r="S32" s="241">
        <f t="shared" si="4"/>
        <v>15651.734574514649</v>
      </c>
      <c r="T32" s="242">
        <f t="shared" si="5"/>
        <v>0</v>
      </c>
      <c r="U32" s="245">
        <f t="shared" si="6"/>
        <v>0</v>
      </c>
      <c r="V32" s="246">
        <f>IF($A32&lt;=$N$4,VLOOKUP(A32,'DOE Fuel Esc Rates'!$T$9:$W$38,2,TRUE),"")</f>
        <v>2031</v>
      </c>
      <c r="W32" s="247">
        <f t="shared" si="7"/>
        <v>652350.14714667271</v>
      </c>
      <c r="X32" s="241">
        <f t="shared" si="8"/>
        <v>394682.56747299345</v>
      </c>
      <c r="Y32" s="248">
        <f>IF(A32&lt;&gt;"",SUM(X$15:X32),"")</f>
        <v>8885916.5663584173</v>
      </c>
      <c r="Z32" s="249">
        <f>IF(A32&lt;&gt;"",LCC0!Y32-Y32,"")</f>
        <v>423029.80262909085</v>
      </c>
      <c r="AA32" s="312" t="str">
        <f>IF(A32&lt;&gt;"",IF(Z32&gt;0,IF(SUM(AA$16:AA31)=0,A31+(-Z31)/(Z32-Z31),""),""),"")</f>
        <v/>
      </c>
      <c r="AB32" s="198"/>
      <c r="AC32" s="251">
        <f t="shared" si="9"/>
        <v>652350.14714667271</v>
      </c>
      <c r="AE32" s="198"/>
    </row>
    <row r="33" spans="1:31" x14ac:dyDescent="0.2">
      <c r="A33" s="176">
        <f t="shared" si="13"/>
        <v>18</v>
      </c>
      <c r="B33" s="56"/>
      <c r="C33" s="51">
        <v>0</v>
      </c>
      <c r="D33" s="252">
        <f t="shared" si="10"/>
        <v>0</v>
      </c>
      <c r="E33" s="56"/>
      <c r="F33" s="51">
        <v>0</v>
      </c>
      <c r="G33" s="241">
        <f t="shared" si="0"/>
        <v>0</v>
      </c>
      <c r="H33" s="242">
        <f>IF($A33&lt;=$N$4,H$15*'General Data'!$S25,"")</f>
        <v>616360</v>
      </c>
      <c r="I33" s="243">
        <f>IF(A33&lt;&gt;"",IF(I$15="",VLOOKUP(A33,'DOE Fuel Esc Rates'!$T$9:$W$38,3,TRUE),I$15),"")</f>
        <v>2.1745883814849876E-3</v>
      </c>
      <c r="J33" s="243">
        <f>((1+I33)*(1+'General Data'!$M$25))-1</f>
        <v>3.1767629698664646E-3</v>
      </c>
      <c r="K33" s="253">
        <f t="shared" si="11"/>
        <v>627842.55131038814</v>
      </c>
      <c r="L33" s="253">
        <f t="shared" si="1"/>
        <v>362046.54035037203</v>
      </c>
      <c r="M33" s="241">
        <f t="shared" si="2"/>
        <v>368791.3290717713</v>
      </c>
      <c r="N33" s="242">
        <f>IF($A33&lt;=$N$4,N$15*'General Data'!$S25,"")</f>
        <v>20420</v>
      </c>
      <c r="O33" s="243">
        <f>IF(A33&lt;&gt;"",IF(O$15="",VLOOKUP(A33,'DOE Fuel Esc Rates'!$T$9:$W$38,4,TRUE),O$15),"")</f>
        <v>1.3333333333333419E-2</v>
      </c>
      <c r="P33" s="243">
        <f>((1+O33)*(1+'General Data'!$M$25))-1</f>
        <v>1.434666666666673E-2</v>
      </c>
      <c r="Q33" s="253">
        <f t="shared" si="12"/>
        <v>26214.864864864867</v>
      </c>
      <c r="R33" s="253">
        <f t="shared" si="3"/>
        <v>11994.597887524493</v>
      </c>
      <c r="S33" s="241">
        <f t="shared" si="4"/>
        <v>15398.470261011174</v>
      </c>
      <c r="T33" s="242">
        <f t="shared" si="5"/>
        <v>0</v>
      </c>
      <c r="U33" s="245">
        <f t="shared" si="6"/>
        <v>0</v>
      </c>
      <c r="V33" s="246">
        <f>IF($A33&lt;=$N$4,VLOOKUP(A33,'DOE Fuel Esc Rates'!$T$9:$W$38,2,TRUE),"")</f>
        <v>2032</v>
      </c>
      <c r="W33" s="247">
        <f t="shared" si="7"/>
        <v>654057.41617525299</v>
      </c>
      <c r="X33" s="241">
        <f t="shared" si="8"/>
        <v>384189.79933278245</v>
      </c>
      <c r="Y33" s="248">
        <f>IF(A33&lt;&gt;"",SUM(X$15:X33),"")</f>
        <v>9270106.3656911999</v>
      </c>
      <c r="Z33" s="249">
        <f>IF(A33&lt;&gt;"",LCC0!Y33-Y33,"")</f>
        <v>450628.41713368893</v>
      </c>
      <c r="AA33" s="312" t="str">
        <f>IF(A33&lt;&gt;"",IF(Z33&gt;0,IF(SUM(AA$16:AA32)=0,A32+(-Z32)/(Z33-Z32),""),""),"")</f>
        <v/>
      </c>
      <c r="AB33" s="198"/>
      <c r="AC33" s="251">
        <f t="shared" si="9"/>
        <v>654057.41617525299</v>
      </c>
      <c r="AE33" s="198"/>
    </row>
    <row r="34" spans="1:31" x14ac:dyDescent="0.2">
      <c r="A34" s="176">
        <f t="shared" si="13"/>
        <v>19</v>
      </c>
      <c r="B34" s="56"/>
      <c r="C34" s="51">
        <v>0</v>
      </c>
      <c r="D34" s="252">
        <f t="shared" si="10"/>
        <v>0</v>
      </c>
      <c r="E34" s="56"/>
      <c r="F34" s="51">
        <v>0</v>
      </c>
      <c r="G34" s="241">
        <f t="shared" si="0"/>
        <v>0</v>
      </c>
      <c r="H34" s="242">
        <f>IF($A34&lt;=$N$4,H$15*'General Data'!$S26,"")</f>
        <v>616360</v>
      </c>
      <c r="I34" s="243">
        <f>IF(A34&lt;&gt;"",IF(I$15="",VLOOKUP(A34,'DOE Fuel Esc Rates'!$T$9:$W$38,3,TRUE),I$15),"")</f>
        <v>1.2399256044637319E-3</v>
      </c>
      <c r="J34" s="243">
        <f>((1+I34)*(1+'General Data'!$M$25))-1</f>
        <v>2.2411655300680344E-3</v>
      </c>
      <c r="K34" s="253">
        <f t="shared" si="11"/>
        <v>628621.02936532977</v>
      </c>
      <c r="L34" s="253">
        <f t="shared" si="1"/>
        <v>351501.49548579811</v>
      </c>
      <c r="M34" s="241">
        <f t="shared" si="2"/>
        <v>358493.78920717636</v>
      </c>
      <c r="N34" s="242">
        <f>IF($A34&lt;=$N$4,N$15*'General Data'!$S26,"")</f>
        <v>20420</v>
      </c>
      <c r="O34" s="243">
        <f>IF(A34&lt;&gt;"",IF(O$15="",VLOOKUP(A34,'DOE Fuel Esc Rates'!$T$9:$W$38,4,TRUE),O$15),"")</f>
        <v>1.2280701754385781E-2</v>
      </c>
      <c r="P34" s="243">
        <f>((1+O34)*(1+'General Data'!$M$25))-1</f>
        <v>1.3292982456140079E-2</v>
      </c>
      <c r="Q34" s="253">
        <f t="shared" si="12"/>
        <v>26536.801801801797</v>
      </c>
      <c r="R34" s="253">
        <f t="shared" si="3"/>
        <v>11645.240667499509</v>
      </c>
      <c r="S34" s="241">
        <f t="shared" si="4"/>
        <v>15133.56726384508</v>
      </c>
      <c r="T34" s="242">
        <f t="shared" si="5"/>
        <v>0</v>
      </c>
      <c r="U34" s="245">
        <f t="shared" si="6"/>
        <v>0</v>
      </c>
      <c r="V34" s="246">
        <f>IF($A34&lt;=$N$4,VLOOKUP(A34,'DOE Fuel Esc Rates'!$T$9:$W$38,2,TRUE),"")</f>
        <v>2033</v>
      </c>
      <c r="W34" s="247">
        <f t="shared" si="7"/>
        <v>655157.83116713155</v>
      </c>
      <c r="X34" s="241">
        <f t="shared" si="8"/>
        <v>373627.35647102143</v>
      </c>
      <c r="Y34" s="248">
        <f>IF(A34&lt;&gt;"",SUM(X$15:X34),"")</f>
        <v>9643733.7221622206</v>
      </c>
      <c r="Z34" s="249">
        <f>IF(A34&lt;&gt;"",LCC0!Y34-Y34,"")</f>
        <v>477496.01978220232</v>
      </c>
      <c r="AA34" s="312" t="str">
        <f>IF(A34&lt;&gt;"",IF(Z34&gt;0,IF(SUM(AA$16:AA33)=0,A33+(-Z33)/(Z34-Z33),""),""),"")</f>
        <v/>
      </c>
      <c r="AB34" s="198"/>
      <c r="AC34" s="251">
        <f t="shared" si="9"/>
        <v>655157.83116713155</v>
      </c>
      <c r="AE34" s="198"/>
    </row>
    <row r="35" spans="1:31" x14ac:dyDescent="0.2">
      <c r="A35" s="176">
        <f t="shared" si="13"/>
        <v>20</v>
      </c>
      <c r="B35" s="56"/>
      <c r="C35" s="51">
        <v>0</v>
      </c>
      <c r="D35" s="252">
        <f t="shared" si="10"/>
        <v>0</v>
      </c>
      <c r="E35" s="56" t="s">
        <v>50</v>
      </c>
      <c r="F35" s="51">
        <v>0</v>
      </c>
      <c r="G35" s="241">
        <f t="shared" si="0"/>
        <v>0</v>
      </c>
      <c r="H35" s="242">
        <f>IF($A35&lt;=$N$4,H$15*'General Data'!$S27,"")</f>
        <v>616360</v>
      </c>
      <c r="I35" s="243">
        <f>IF(A35&lt;&gt;"",IF(I$15="",VLOOKUP(A35,'DOE Fuel Esc Rates'!$T$9:$W$38,3,TRUE),I$15),"")</f>
        <v>2.1671826625386803E-3</v>
      </c>
      <c r="J35" s="243">
        <f>((1+I35)*(1+'General Data'!$M$25))-1</f>
        <v>3.1693498452010083E-3</v>
      </c>
      <c r="K35" s="253">
        <f t="shared" si="11"/>
        <v>629983.36596147751</v>
      </c>
      <c r="L35" s="253">
        <f t="shared" si="1"/>
        <v>341263.58785028942</v>
      </c>
      <c r="M35" s="241">
        <f t="shared" si="2"/>
        <v>348806.51527356694</v>
      </c>
      <c r="N35" s="242">
        <f>IF($A35&lt;=$N$4,N$15*'General Data'!$S27,"")</f>
        <v>20420</v>
      </c>
      <c r="O35" s="243">
        <f>IF(A35&lt;&gt;"",IF(O$15="",VLOOKUP(A35,'DOE Fuel Esc Rates'!$T$9:$W$38,4,TRUE),O$15),"")</f>
        <v>1.7331022530329365E-2</v>
      </c>
      <c r="P35" s="243">
        <f>((1+O35)*(1+'General Data'!$M$25))-1</f>
        <v>1.8348353552859686E-2</v>
      </c>
      <c r="Q35" s="253">
        <f t="shared" si="12"/>
        <v>26996.711711711709</v>
      </c>
      <c r="R35" s="253">
        <f t="shared" si="3"/>
        <v>11306.058900484961</v>
      </c>
      <c r="S35" s="241">
        <f t="shared" si="4"/>
        <v>14947.424717533042</v>
      </c>
      <c r="T35" s="242">
        <f t="shared" si="5"/>
        <v>0</v>
      </c>
      <c r="U35" s="245">
        <f t="shared" si="6"/>
        <v>0</v>
      </c>
      <c r="V35" s="246">
        <f>IF($A35&lt;=$N$4,VLOOKUP(A35,'DOE Fuel Esc Rates'!$T$9:$W$38,2,TRUE),"")</f>
        <v>2034</v>
      </c>
      <c r="W35" s="247">
        <f t="shared" si="7"/>
        <v>656980.07767318923</v>
      </c>
      <c r="X35" s="241">
        <f t="shared" si="8"/>
        <v>363753.93999109999</v>
      </c>
      <c r="Y35" s="248">
        <f>IF(A35&lt;&gt;"",SUM(X$15:X35),"")</f>
        <v>10007487.66215332</v>
      </c>
      <c r="Z35" s="249">
        <f>IF(A35&lt;&gt;"",LCC0!Y35-Y35,"")</f>
        <v>503691.06500393711</v>
      </c>
      <c r="AA35" s="312" t="str">
        <f>IF(A35&lt;&gt;"",IF(Z35&gt;0,IF(SUM(AA$16:AA34)=0,A34+(-Z34)/(Z35-Z34),""),""),"")</f>
        <v/>
      </c>
      <c r="AB35" s="198"/>
      <c r="AC35" s="251">
        <f t="shared" si="9"/>
        <v>656980.07767318923</v>
      </c>
      <c r="AE35" s="198"/>
    </row>
    <row r="36" spans="1:31" x14ac:dyDescent="0.2">
      <c r="A36" s="176">
        <f t="shared" si="13"/>
        <v>21</v>
      </c>
      <c r="B36" s="56"/>
      <c r="C36" s="51">
        <v>0</v>
      </c>
      <c r="D36" s="252">
        <f t="shared" si="10"/>
        <v>0</v>
      </c>
      <c r="E36" s="56"/>
      <c r="F36" s="51">
        <v>0</v>
      </c>
      <c r="G36" s="241">
        <f t="shared" si="0"/>
        <v>0</v>
      </c>
      <c r="H36" s="242">
        <f>IF($A36&lt;=$N$4,H$15*'General Data'!$S28,"")</f>
        <v>616360</v>
      </c>
      <c r="I36" s="243">
        <f>IF(A36&lt;&gt;"",IF(I$15="",VLOOKUP(A36,'DOE Fuel Esc Rates'!$T$9:$W$38,3,TRUE),I$15),"")</f>
        <v>2.780352177942591E-3</v>
      </c>
      <c r="J36" s="243">
        <f>((1+I36)*(1+'General Data'!$M$25))-1</f>
        <v>3.7831325301205254E-3</v>
      </c>
      <c r="K36" s="253">
        <f t="shared" si="11"/>
        <v>631734.94158509606</v>
      </c>
      <c r="L36" s="253">
        <f t="shared" si="1"/>
        <v>331323.87169931014</v>
      </c>
      <c r="M36" s="241">
        <f t="shared" si="2"/>
        <v>339588.6604155227</v>
      </c>
      <c r="N36" s="242">
        <f>IF($A36&lt;=$N$4,N$15*'General Data'!$S28,"")</f>
        <v>20420</v>
      </c>
      <c r="O36" s="243">
        <f>IF(A36&lt;&gt;"",IF(O$15="",VLOOKUP(A36,'DOE Fuel Esc Rates'!$T$9:$W$38,4,TRUE),O$15),"")</f>
        <v>1.7035775127768327E-2</v>
      </c>
      <c r="P36" s="243">
        <f>((1+O36)*(1+'General Data'!$M$25))-1</f>
        <v>1.8052810902895899E-2</v>
      </c>
      <c r="Q36" s="253">
        <f t="shared" si="12"/>
        <v>27456.62162162162</v>
      </c>
      <c r="R36" s="253">
        <f t="shared" si="3"/>
        <v>10976.756214063069</v>
      </c>
      <c r="S36" s="241">
        <f t="shared" si="4"/>
        <v>14759.287071611829</v>
      </c>
      <c r="T36" s="242">
        <f t="shared" si="5"/>
        <v>0</v>
      </c>
      <c r="U36" s="245">
        <f t="shared" si="6"/>
        <v>0</v>
      </c>
      <c r="V36" s="246">
        <f>IF($A36&lt;=$N$4,VLOOKUP(A36,'DOE Fuel Esc Rates'!$T$9:$W$38,2,TRUE),"")</f>
        <v>2035</v>
      </c>
      <c r="W36" s="247">
        <f t="shared" si="7"/>
        <v>659191.56320671772</v>
      </c>
      <c r="X36" s="241">
        <f t="shared" si="8"/>
        <v>354347.94748713454</v>
      </c>
      <c r="Y36" s="248">
        <f>IF(A36&lt;&gt;"",SUM(X$15:X36),"")</f>
        <v>10361835.609640455</v>
      </c>
      <c r="Z36" s="249">
        <f>IF(A36&lt;&gt;"",LCC0!Y36-Y36,"")</f>
        <v>529243.49992774986</v>
      </c>
      <c r="AA36" s="312" t="str">
        <f>IF(A36&lt;&gt;"",IF(Z36&gt;0,IF(SUM(AA$16:AA35)=0,A35+(-Z35)/(Z36-Z35),""),""),"")</f>
        <v/>
      </c>
      <c r="AB36" s="198"/>
      <c r="AC36" s="251">
        <f t="shared" si="9"/>
        <v>659191.56320671772</v>
      </c>
      <c r="AE36" s="198"/>
    </row>
    <row r="37" spans="1:31" x14ac:dyDescent="0.2">
      <c r="A37" s="176">
        <f t="shared" si="13"/>
        <v>22</v>
      </c>
      <c r="B37" s="56"/>
      <c r="C37" s="51">
        <v>0</v>
      </c>
      <c r="D37" s="252">
        <f t="shared" si="10"/>
        <v>0</v>
      </c>
      <c r="E37" s="56"/>
      <c r="F37" s="51">
        <v>0</v>
      </c>
      <c r="G37" s="241">
        <f t="shared" si="0"/>
        <v>0</v>
      </c>
      <c r="H37" s="242">
        <f>IF($A37&lt;=$N$4,H$15*'General Data'!$S29,"")</f>
        <v>616360</v>
      </c>
      <c r="I37" s="243">
        <f>IF(A37&lt;&gt;"",IF(I$15="",VLOOKUP(A37,'DOE Fuel Esc Rates'!$T$9:$W$38,3,TRUE),I$15),"")</f>
        <v>4.6210720887245316E-3</v>
      </c>
      <c r="J37" s="243">
        <f>((1+I37)*(1+'General Data'!$M$25))-1</f>
        <v>5.6256931608131833E-3</v>
      </c>
      <c r="K37" s="253">
        <f t="shared" si="11"/>
        <v>634654.23429112695</v>
      </c>
      <c r="L37" s="253">
        <f t="shared" si="1"/>
        <v>321673.66184399044</v>
      </c>
      <c r="M37" s="241">
        <f t="shared" si="2"/>
        <v>331221.28552991862</v>
      </c>
      <c r="N37" s="242">
        <f>IF($A37&lt;=$N$4,N$15*'General Data'!$S29,"")</f>
        <v>20420</v>
      </c>
      <c r="O37" s="243">
        <f>IF(A37&lt;&gt;"",IF(O$15="",VLOOKUP(A37,'DOE Fuel Esc Rates'!$T$9:$W$38,4,TRUE),O$15),"")</f>
        <v>1.0050251256281451E-2</v>
      </c>
      <c r="P37" s="243">
        <f>((1+O37)*(1+'General Data'!$M$25))-1</f>
        <v>1.1060301507537673E-2</v>
      </c>
      <c r="Q37" s="253">
        <f t="shared" si="12"/>
        <v>27732.567567567567</v>
      </c>
      <c r="R37" s="253">
        <f t="shared" si="3"/>
        <v>10657.044868022396</v>
      </c>
      <c r="S37" s="241">
        <f t="shared" si="4"/>
        <v>14473.41904373312</v>
      </c>
      <c r="T37" s="242">
        <f t="shared" si="5"/>
        <v>0</v>
      </c>
      <c r="U37" s="245">
        <f t="shared" si="6"/>
        <v>0</v>
      </c>
      <c r="V37" s="246">
        <f>IF($A37&lt;=$N$4,VLOOKUP(A37,'DOE Fuel Esc Rates'!$T$9:$W$38,2,TRUE),"")</f>
        <v>2036</v>
      </c>
      <c r="W37" s="247">
        <f t="shared" si="7"/>
        <v>662386.80185869453</v>
      </c>
      <c r="X37" s="241">
        <f t="shared" si="8"/>
        <v>345694.70457365172</v>
      </c>
      <c r="Y37" s="248">
        <f>IF(A37&lt;&gt;"",SUM(X$15:X37),"")</f>
        <v>10707530.314214107</v>
      </c>
      <c r="Z37" s="249">
        <f>IF(A37&lt;&gt;"",LCC0!Y37-Y37,"")</f>
        <v>554184.99781480432</v>
      </c>
      <c r="AA37" s="312" t="str">
        <f>IF(A37&lt;&gt;"",IF(Z37&gt;0,IF(SUM(AA$16:AA36)=0,A36+(-Z36)/(Z37-Z36),""),""),"")</f>
        <v/>
      </c>
      <c r="AB37" s="198"/>
      <c r="AC37" s="251">
        <f t="shared" si="9"/>
        <v>662386.80185869453</v>
      </c>
      <c r="AE37" s="198"/>
    </row>
    <row r="38" spans="1:31" x14ac:dyDescent="0.2">
      <c r="A38" s="176">
        <f t="shared" si="13"/>
        <v>23</v>
      </c>
      <c r="B38" s="56"/>
      <c r="C38" s="51">
        <v>0</v>
      </c>
      <c r="D38" s="252">
        <f t="shared" si="10"/>
        <v>0</v>
      </c>
      <c r="E38" s="56"/>
      <c r="F38" s="51">
        <v>0</v>
      </c>
      <c r="G38" s="241">
        <f t="shared" si="0"/>
        <v>0</v>
      </c>
      <c r="H38" s="242">
        <f>IF($A38&lt;=$N$4,H$15*'General Data'!$S30,"")</f>
        <v>616360</v>
      </c>
      <c r="I38" s="243">
        <f>IF(A38&lt;&gt;"",IF(I$15="",VLOOKUP(A38,'DOE Fuel Esc Rates'!$T$9:$W$38,3,TRUE),I$15),"")</f>
        <v>4.9064704078505272E-3</v>
      </c>
      <c r="J38" s="243">
        <f>((1+I38)*(1+'General Data'!$M$25))-1</f>
        <v>5.9113768782581566E-3</v>
      </c>
      <c r="K38" s="253">
        <f t="shared" si="11"/>
        <v>637768.14651089336</v>
      </c>
      <c r="L38" s="253">
        <f t="shared" si="1"/>
        <v>312304.52606212662</v>
      </c>
      <c r="M38" s="241">
        <f t="shared" si="2"/>
        <v>323151.85724837024</v>
      </c>
      <c r="N38" s="242">
        <f>IF($A38&lt;=$N$4,N$15*'General Data'!$S30,"")</f>
        <v>20420</v>
      </c>
      <c r="O38" s="243">
        <f>IF(A38&lt;&gt;"",IF(O$15="",VLOOKUP(A38,'DOE Fuel Esc Rates'!$T$9:$W$38,4,TRUE),O$15),"")</f>
        <v>1.8242122719734466E-2</v>
      </c>
      <c r="P38" s="243">
        <f>((1+O38)*(1+'General Data'!$M$25))-1</f>
        <v>1.9260364842454081E-2</v>
      </c>
      <c r="Q38" s="253">
        <f t="shared" si="12"/>
        <v>28238.468468468462</v>
      </c>
      <c r="R38" s="253">
        <f t="shared" si="3"/>
        <v>10346.645502934365</v>
      </c>
      <c r="S38" s="241">
        <f t="shared" si="4"/>
        <v>14308.198961265087</v>
      </c>
      <c r="T38" s="242">
        <f t="shared" si="5"/>
        <v>0</v>
      </c>
      <c r="U38" s="245">
        <f t="shared" si="6"/>
        <v>0</v>
      </c>
      <c r="V38" s="246">
        <f>IF($A38&lt;=$N$4,VLOOKUP(A38,'DOE Fuel Esc Rates'!$T$9:$W$38,2,TRUE),"")</f>
        <v>2037</v>
      </c>
      <c r="W38" s="247">
        <f t="shared" si="7"/>
        <v>666006.61497936188</v>
      </c>
      <c r="X38" s="241">
        <f t="shared" si="8"/>
        <v>337460.05620963534</v>
      </c>
      <c r="Y38" s="248">
        <f>IF(A38&lt;&gt;"",SUM(X$15:X38),"")</f>
        <v>11044990.370423742</v>
      </c>
      <c r="Z38" s="249">
        <f>IF(A38&lt;&gt;"",LCC0!Y38-Y38,"")</f>
        <v>578563.82115737908</v>
      </c>
      <c r="AA38" s="312" t="str">
        <f>IF(A38&lt;&gt;"",IF(Z38&gt;0,IF(SUM(AA$16:AA37)=0,A37+(-Z37)/(Z38-Z37),""),""),"")</f>
        <v/>
      </c>
      <c r="AB38" s="198"/>
      <c r="AC38" s="251">
        <f t="shared" si="9"/>
        <v>666006.61497936188</v>
      </c>
      <c r="AE38" s="198"/>
    </row>
    <row r="39" spans="1:31" x14ac:dyDescent="0.2">
      <c r="A39" s="176">
        <f t="shared" si="13"/>
        <v>24</v>
      </c>
      <c r="B39" s="56"/>
      <c r="C39" s="51">
        <v>0</v>
      </c>
      <c r="D39" s="252">
        <f t="shared" si="10"/>
        <v>0</v>
      </c>
      <c r="E39" s="56"/>
      <c r="F39" s="51">
        <v>0</v>
      </c>
      <c r="G39" s="241">
        <f t="shared" si="0"/>
        <v>0</v>
      </c>
      <c r="H39" s="242">
        <f>IF($A39&lt;=$N$4,H$15*'General Data'!$S31,"")</f>
        <v>616360</v>
      </c>
      <c r="I39" s="243">
        <f>IF(A39&lt;&gt;"",IF(I$15="",VLOOKUP(A39,'DOE Fuel Esc Rates'!$T$9:$W$38,3,TRUE),I$15),"")</f>
        <v>4.8825144949649069E-3</v>
      </c>
      <c r="J39" s="243">
        <f>((1+I39)*(1+'General Data'!$M$25))-1</f>
        <v>5.8873970094597272E-3</v>
      </c>
      <c r="K39" s="253">
        <f t="shared" si="11"/>
        <v>640882.05873065966</v>
      </c>
      <c r="L39" s="253">
        <f t="shared" si="1"/>
        <v>303208.27773022006</v>
      </c>
      <c r="M39" s="241">
        <f t="shared" si="2"/>
        <v>315271.50570433034</v>
      </c>
      <c r="N39" s="242">
        <f>IF($A39&lt;=$N$4,N$15*'General Data'!$S31,"")</f>
        <v>20420</v>
      </c>
      <c r="O39" s="243">
        <f>IF(A39&lt;&gt;"",IF(O$15="",VLOOKUP(A39,'DOE Fuel Esc Rates'!$T$9:$W$38,4,TRUE),O$15),"")</f>
        <v>2.6058631921824116E-2</v>
      </c>
      <c r="P39" s="243">
        <f>((1+O39)*(1+'General Data'!$M$25))-1</f>
        <v>2.7084690553745849E-2</v>
      </c>
      <c r="Q39" s="253">
        <f t="shared" si="12"/>
        <v>28974.324324324316</v>
      </c>
      <c r="R39" s="253">
        <f t="shared" si="3"/>
        <v>10045.286896052783</v>
      </c>
      <c r="S39" s="241">
        <f t="shared" si="4"/>
        <v>14253.447622777594</v>
      </c>
      <c r="T39" s="242">
        <f t="shared" si="5"/>
        <v>0</v>
      </c>
      <c r="U39" s="245">
        <f t="shared" si="6"/>
        <v>0</v>
      </c>
      <c r="V39" s="246">
        <f>IF($A39&lt;=$N$4,VLOOKUP(A39,'DOE Fuel Esc Rates'!$T$9:$W$38,2,TRUE),"")</f>
        <v>2038</v>
      </c>
      <c r="W39" s="247">
        <f t="shared" si="7"/>
        <v>669856.38305498392</v>
      </c>
      <c r="X39" s="241">
        <f t="shared" si="8"/>
        <v>329524.95332710794</v>
      </c>
      <c r="Y39" s="248">
        <f>IF(A39&lt;&gt;"",SUM(X$15:X39),"")</f>
        <v>11374515.32375085</v>
      </c>
      <c r="Z39" s="249">
        <f>IF(A39&lt;&gt;"",LCC0!Y39-Y39,"")</f>
        <v>602418.73332712613</v>
      </c>
      <c r="AA39" s="312" t="str">
        <f>IF(A39&lt;&gt;"",IF(Z39&gt;0,IF(SUM(AA$16:AA38)=0,A38+(-Z38)/(Z39-Z38),""),""),"")</f>
        <v/>
      </c>
      <c r="AB39" s="198"/>
      <c r="AC39" s="251">
        <f t="shared" si="9"/>
        <v>669856.38305498392</v>
      </c>
      <c r="AE39" s="198"/>
    </row>
    <row r="40" spans="1:31" x14ac:dyDescent="0.2">
      <c r="A40" s="176">
        <f t="shared" si="13"/>
        <v>25</v>
      </c>
      <c r="B40" s="56" t="s">
        <v>52</v>
      </c>
      <c r="C40" s="51">
        <v>0</v>
      </c>
      <c r="D40" s="252">
        <f t="shared" si="10"/>
        <v>0</v>
      </c>
      <c r="E40" s="56"/>
      <c r="F40" s="51">
        <v>0</v>
      </c>
      <c r="G40" s="241">
        <f t="shared" si="0"/>
        <v>0</v>
      </c>
      <c r="H40" s="242">
        <f>IF($A40&lt;=$N$4,H$15*'General Data'!$S32,"")</f>
        <v>616360</v>
      </c>
      <c r="I40" s="243">
        <f>IF(A40&lt;&gt;"",IF(I$15="",VLOOKUP(A40,'DOE Fuel Esc Rates'!$T$9:$W$38,3,TRUE),I$15),"")</f>
        <v>5.1624658366231646E-3</v>
      </c>
      <c r="J40" s="243">
        <f>((1+I40)*(1+'General Data'!$M$25))-1</f>
        <v>6.167628302459649E-3</v>
      </c>
      <c r="K40" s="253">
        <f t="shared" si="11"/>
        <v>644190.59046416136</v>
      </c>
      <c r="L40" s="253">
        <f t="shared" si="1"/>
        <v>294376.96867011656</v>
      </c>
      <c r="M40" s="241">
        <f t="shared" si="2"/>
        <v>307669.01367164048</v>
      </c>
      <c r="N40" s="242">
        <f>IF($A40&lt;=$N$4,N$15*'General Data'!$S32,"")</f>
        <v>20420</v>
      </c>
      <c r="O40" s="243">
        <f>IF(A40&lt;&gt;"",IF(O$15="",VLOOKUP(A40,'DOE Fuel Esc Rates'!$T$9:$W$38,4,TRUE),O$15),"")</f>
        <v>2.4603174603174738E-2</v>
      </c>
      <c r="P40" s="243">
        <f>((1+O40)*(1+'General Data'!$M$25))-1</f>
        <v>2.5627777777777805E-2</v>
      </c>
      <c r="Q40" s="253">
        <f t="shared" si="12"/>
        <v>29687.184684684678</v>
      </c>
      <c r="R40" s="253">
        <f t="shared" si="3"/>
        <v>9752.7057243230902</v>
      </c>
      <c r="S40" s="241">
        <f t="shared" si="4"/>
        <v>14178.764741104851</v>
      </c>
      <c r="T40" s="242">
        <f t="shared" si="5"/>
        <v>0</v>
      </c>
      <c r="U40" s="245">
        <f t="shared" si="6"/>
        <v>0</v>
      </c>
      <c r="V40" s="246">
        <f>IF($A40&lt;=$N$4,VLOOKUP(A40,'DOE Fuel Esc Rates'!$T$9:$W$38,2,TRUE),"")</f>
        <v>2039</v>
      </c>
      <c r="W40" s="247">
        <f t="shared" si="7"/>
        <v>673877.77514884609</v>
      </c>
      <c r="X40" s="241">
        <f t="shared" si="8"/>
        <v>321847.77841274533</v>
      </c>
      <c r="Y40" s="248">
        <f>IF(A40&lt;&gt;"",SUM(X$15:X40),"")</f>
        <v>11696363.102163594</v>
      </c>
      <c r="Z40" s="249">
        <f>IF(A40&lt;&gt;"",LCC0!Y40-Y40,"")</f>
        <v>625762.96128124744</v>
      </c>
      <c r="AA40" s="312" t="str">
        <f>IF(A40&lt;&gt;"",IF(Z40&gt;0,IF(SUM(AA$16:AA39)=0,A39+(-Z39)/(Z40-Z39),""),""),"")</f>
        <v/>
      </c>
      <c r="AB40" s="198"/>
      <c r="AC40" s="251">
        <f t="shared" si="9"/>
        <v>673877.77514884609</v>
      </c>
      <c r="AE40" s="198"/>
    </row>
    <row r="41" spans="1:31" s="124" customFormat="1" ht="11.25" customHeight="1" thickBot="1" x14ac:dyDescent="0.25">
      <c r="A41" s="254"/>
      <c r="B41" s="255"/>
      <c r="C41" s="256"/>
      <c r="D41" s="257"/>
      <c r="E41" s="256"/>
      <c r="F41" s="256"/>
      <c r="G41" s="258"/>
      <c r="H41" s="259"/>
      <c r="I41" s="260"/>
      <c r="J41" s="260"/>
      <c r="K41" s="253"/>
      <c r="L41" s="253"/>
      <c r="M41" s="241"/>
      <c r="N41" s="261"/>
      <c r="O41" s="260"/>
      <c r="P41" s="260"/>
      <c r="Q41" s="260"/>
      <c r="R41" s="253"/>
      <c r="S41" s="241"/>
      <c r="T41" s="251"/>
      <c r="U41" s="258"/>
      <c r="V41" s="129"/>
      <c r="W41" s="129"/>
      <c r="X41" s="262"/>
      <c r="Y41" s="263"/>
      <c r="Z41" s="264"/>
      <c r="AA41" s="265"/>
    </row>
    <row r="42" spans="1:31" s="124" customFormat="1" ht="2.25" customHeight="1" x14ac:dyDescent="0.2">
      <c r="A42" s="266"/>
      <c r="B42" s="267"/>
      <c r="C42" s="267"/>
      <c r="D42" s="268"/>
      <c r="E42" s="267"/>
      <c r="F42" s="267"/>
      <c r="G42" s="269"/>
      <c r="H42" s="270"/>
      <c r="I42" s="271"/>
      <c r="J42" s="271"/>
      <c r="K42" s="271"/>
      <c r="L42" s="271"/>
      <c r="M42" s="272"/>
      <c r="N42" s="271"/>
      <c r="O42" s="271"/>
      <c r="P42" s="271"/>
      <c r="Q42" s="271"/>
      <c r="R42" s="271"/>
      <c r="S42" s="272"/>
      <c r="T42" s="273"/>
      <c r="U42" s="269"/>
      <c r="V42" s="273"/>
      <c r="W42" s="273"/>
      <c r="X42" s="269"/>
      <c r="Y42" s="274"/>
      <c r="Z42" s="273"/>
      <c r="AA42" s="275"/>
    </row>
    <row r="43" spans="1:31" s="289" customFormat="1" x14ac:dyDescent="0.2">
      <c r="A43" s="276"/>
      <c r="B43" s="277"/>
      <c r="C43" s="278">
        <f>SUM(C15:C40)</f>
        <v>245540</v>
      </c>
      <c r="D43" s="279">
        <f>+SUM(D15:D40)</f>
        <v>245540</v>
      </c>
      <c r="E43" s="278"/>
      <c r="F43" s="278">
        <f>SUM(F15:F40)</f>
        <v>0</v>
      </c>
      <c r="G43" s="280">
        <f>+SUM(G15:G40)</f>
        <v>0</v>
      </c>
      <c r="H43" s="281">
        <f>SUM(H16:H40)</f>
        <v>15409000</v>
      </c>
      <c r="I43" s="129"/>
      <c r="J43" s="129"/>
      <c r="K43" s="282">
        <f>SUM(K16:K40)</f>
        <v>15826458.856962422</v>
      </c>
      <c r="L43" s="282">
        <f>SUM(L16:L40)</f>
        <v>10732767.710996125</v>
      </c>
      <c r="M43" s="280">
        <f>+SUM(M16:M40)</f>
        <v>11023712.401520729</v>
      </c>
      <c r="N43" s="281">
        <f>SUM(N16:N40)</f>
        <v>510500</v>
      </c>
      <c r="O43" s="283"/>
      <c r="P43" s="129"/>
      <c r="Q43" s="282">
        <f>SUM(Q16:Q40)</f>
        <v>625960.38288288284</v>
      </c>
      <c r="R43" s="282">
        <f>SUM(R16:R40)</f>
        <v>355576.47585589724</v>
      </c>
      <c r="S43" s="280">
        <f>+SUM(S16:S40)</f>
        <v>427110.70064286614</v>
      </c>
      <c r="T43" s="281">
        <f>SUM(T16:T40)</f>
        <v>0</v>
      </c>
      <c r="U43" s="284">
        <f>+SUM(U16:U40)</f>
        <v>0</v>
      </c>
      <c r="V43" s="283"/>
      <c r="W43" s="285">
        <f>SUM(W15:W40)</f>
        <v>16697959.239845304</v>
      </c>
      <c r="X43" s="284">
        <f>+SUM(X15:X40)</f>
        <v>11696363.102163594</v>
      </c>
      <c r="Y43" s="286">
        <f>X43</f>
        <v>11696363.102163594</v>
      </c>
      <c r="Z43" s="287" t="s">
        <v>49</v>
      </c>
      <c r="AA43" s="313">
        <f>IF(SUM(AA16:AA40)&gt;0,SUM(AA16:AA40),"&gt;"&amp;T4)</f>
        <v>4.4895281977955666</v>
      </c>
      <c r="AC43" s="289">
        <f>+SUM(AC15:AC40)</f>
        <v>16452419.239845304</v>
      </c>
    </row>
    <row r="44" spans="1:31" s="124" customFormat="1" ht="5.25" customHeight="1" thickBot="1" x14ac:dyDescent="0.25">
      <c r="A44" s="290"/>
      <c r="B44" s="291"/>
      <c r="C44" s="291"/>
      <c r="D44" s="292"/>
      <c r="E44" s="291"/>
      <c r="F44" s="291"/>
      <c r="G44" s="293"/>
      <c r="H44" s="291"/>
      <c r="I44" s="294"/>
      <c r="J44" s="294"/>
      <c r="K44" s="294"/>
      <c r="L44" s="294"/>
      <c r="M44" s="293"/>
      <c r="N44" s="294"/>
      <c r="O44" s="294"/>
      <c r="P44" s="294"/>
      <c r="Q44" s="294"/>
      <c r="R44" s="294"/>
      <c r="S44" s="293"/>
      <c r="T44" s="294"/>
      <c r="U44" s="293"/>
      <c r="V44" s="294"/>
      <c r="W44" s="294"/>
      <c r="X44" s="293"/>
      <c r="Y44" s="295"/>
      <c r="Z44" s="294"/>
      <c r="AA44" s="293"/>
    </row>
    <row r="45" spans="1:31" s="124" customFormat="1" ht="6" customHeight="1" x14ac:dyDescent="0.2">
      <c r="A45" s="129"/>
      <c r="B45" s="296"/>
      <c r="C45" s="296"/>
      <c r="D45" s="296"/>
      <c r="E45" s="296"/>
      <c r="F45" s="74"/>
      <c r="G45" s="74"/>
      <c r="H45" s="296"/>
      <c r="I45" s="74"/>
      <c r="J45" s="74"/>
      <c r="K45" s="74"/>
      <c r="L45" s="74"/>
      <c r="M45" s="74"/>
      <c r="N45" s="74"/>
      <c r="O45" s="74"/>
      <c r="P45" s="74"/>
      <c r="Q45" s="74"/>
      <c r="R45" s="74"/>
      <c r="S45" s="74"/>
      <c r="T45" s="74"/>
      <c r="U45" s="74"/>
      <c r="V45" s="74"/>
      <c r="W45" s="74"/>
      <c r="X45" s="74"/>
      <c r="AA45" s="141"/>
    </row>
    <row r="46" spans="1:31" x14ac:dyDescent="0.2">
      <c r="B46" s="297" t="s">
        <v>53</v>
      </c>
      <c r="C46" s="298" t="s">
        <v>1</v>
      </c>
      <c r="I46" s="299"/>
      <c r="J46" s="299"/>
      <c r="M46" s="251"/>
      <c r="P46" s="299"/>
      <c r="S46" s="300"/>
      <c r="U46" s="301"/>
      <c r="X46" s="302"/>
    </row>
    <row r="47" spans="1:31" x14ac:dyDescent="0.2">
      <c r="C47" s="304" t="s">
        <v>201</v>
      </c>
      <c r="M47" s="251"/>
      <c r="X47" s="302"/>
    </row>
    <row r="48" spans="1:31" x14ac:dyDescent="0.2">
      <c r="L48" s="305"/>
      <c r="X48" s="302"/>
    </row>
    <row r="49" spans="8:24" x14ac:dyDescent="0.2">
      <c r="H49" s="306"/>
      <c r="L49" s="305"/>
      <c r="M49" s="251"/>
    </row>
    <row r="50" spans="8:24" x14ac:dyDescent="0.2">
      <c r="H50" s="255"/>
      <c r="M50" s="251"/>
      <c r="X50" s="307"/>
    </row>
    <row r="51" spans="8:24" x14ac:dyDescent="0.2">
      <c r="M51" s="308"/>
      <c r="X51" s="309"/>
    </row>
    <row r="52" spans="8:24" x14ac:dyDescent="0.2">
      <c r="H52" s="306"/>
      <c r="M52" s="308"/>
    </row>
    <row r="53" spans="8:24" x14ac:dyDescent="0.2">
      <c r="H53" s="306"/>
    </row>
    <row r="54" spans="8:24" x14ac:dyDescent="0.2">
      <c r="H54" s="310"/>
    </row>
    <row r="56" spans="8:24" x14ac:dyDescent="0.2">
      <c r="H56" s="311"/>
      <c r="M56" s="307"/>
    </row>
  </sheetData>
  <phoneticPr fontId="0" type="noConversion"/>
  <printOptions horizontalCentered="1"/>
  <pageMargins left="0.35" right="0.35" top="0.75" bottom="0.75" header="0.5" footer="0.5"/>
  <pageSetup paperSize="4" scale="70" orientation="landscape" horizontalDpi="4294967292"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AE56"/>
  <sheetViews>
    <sheetView zoomScale="80" workbookViewId="0">
      <pane xSplit="1" topLeftCell="B1" activePane="topRight" state="frozenSplit"/>
      <selection activeCell="D16" sqref="D16"/>
      <selection pane="topRight" activeCell="AA13" sqref="AA13"/>
    </sheetView>
  </sheetViews>
  <sheetFormatPr defaultRowHeight="12.75" x14ac:dyDescent="0.2"/>
  <cols>
    <col min="1" max="1" width="4.5703125" style="129" customWidth="1"/>
    <col min="2" max="3" width="12" style="296" customWidth="1"/>
    <col min="4" max="5" width="10.7109375" style="296" customWidth="1"/>
    <col min="6" max="7" width="11.140625" style="74" customWidth="1"/>
    <col min="8" max="8" width="12.5703125" style="296" customWidth="1"/>
    <col min="9" max="9" width="10.28515625" style="74" customWidth="1"/>
    <col min="10" max="10" width="10.28515625" style="74" hidden="1" customWidth="1"/>
    <col min="11" max="12" width="13.42578125" style="74" hidden="1" customWidth="1"/>
    <col min="13" max="13" width="14.7109375" style="74" customWidth="1"/>
    <col min="14" max="14" width="10.5703125" style="74" customWidth="1"/>
    <col min="15" max="15" width="11" style="74" customWidth="1"/>
    <col min="16" max="16" width="10.28515625" style="74" hidden="1" customWidth="1"/>
    <col min="17" max="17" width="11" style="74" hidden="1" customWidth="1"/>
    <col min="18" max="18" width="12.140625" style="74" hidden="1" customWidth="1"/>
    <col min="19" max="19" width="12" style="74" customWidth="1"/>
    <col min="20" max="20" width="11.28515625" style="74" customWidth="1"/>
    <col min="21" max="21" width="12.7109375" style="74" customWidth="1"/>
    <col min="22" max="22" width="6" style="74" customWidth="1"/>
    <col min="23" max="23" width="15.28515625" style="74" hidden="1" customWidth="1"/>
    <col min="24" max="24" width="16" style="74" customWidth="1"/>
    <col min="25" max="25" width="14.5703125" style="74" customWidth="1"/>
    <col min="26" max="26" width="14.42578125" style="74" customWidth="1"/>
    <col min="27" max="27" width="11.85546875" style="303" customWidth="1"/>
    <col min="28" max="28" width="9.140625" style="74"/>
    <col min="29" max="29" width="10" style="74" hidden="1" customWidth="1"/>
    <col min="30" max="16384" width="9.140625" style="74"/>
  </cols>
  <sheetData>
    <row r="1" spans="1:31" s="124" customFormat="1" ht="13.5" thickBot="1" x14ac:dyDescent="0.25">
      <c r="A1" s="139"/>
      <c r="B1" s="140"/>
      <c r="C1" s="140"/>
      <c r="D1" s="140"/>
      <c r="E1" s="140"/>
      <c r="H1" s="140"/>
      <c r="AA1" s="141"/>
    </row>
    <row r="2" spans="1:31" ht="5.25" customHeight="1" thickTop="1" x14ac:dyDescent="0.2">
      <c r="A2" s="142"/>
      <c r="B2" s="143"/>
      <c r="C2" s="143"/>
      <c r="D2" s="143"/>
      <c r="E2" s="143"/>
      <c r="F2" s="143"/>
      <c r="G2" s="143"/>
      <c r="H2" s="144"/>
      <c r="I2" s="144"/>
      <c r="J2" s="144"/>
      <c r="K2" s="144"/>
      <c r="L2" s="144"/>
      <c r="M2" s="144"/>
      <c r="N2" s="144"/>
      <c r="O2" s="144"/>
      <c r="P2" s="144"/>
      <c r="Q2" s="144"/>
      <c r="R2" s="144"/>
      <c r="S2" s="144"/>
      <c r="T2" s="144"/>
      <c r="U2" s="144"/>
      <c r="V2" s="144"/>
      <c r="W2" s="144"/>
      <c r="X2" s="145"/>
      <c r="Y2" s="146"/>
      <c r="Z2" s="144"/>
      <c r="AA2" s="145"/>
    </row>
    <row r="3" spans="1:31" ht="15.75" x14ac:dyDescent="0.25">
      <c r="A3" s="147"/>
      <c r="B3" s="69" t="s">
        <v>246</v>
      </c>
      <c r="C3" s="69"/>
      <c r="D3" s="148"/>
      <c r="E3" s="148"/>
      <c r="G3" s="149" t="s">
        <v>190</v>
      </c>
      <c r="H3" s="150" t="str">
        <f>'General Data'!A12&amp;"/"&amp;'General Data'!H12</f>
        <v>4/2015</v>
      </c>
      <c r="M3" s="151" t="s">
        <v>193</v>
      </c>
      <c r="N3" s="152">
        <f>N4-H4</f>
        <v>25</v>
      </c>
      <c r="R3" s="153"/>
      <c r="S3" s="149" t="s">
        <v>11</v>
      </c>
      <c r="T3" s="154">
        <f>'General Data'!H10</f>
        <v>2015</v>
      </c>
      <c r="V3" s="149" t="s">
        <v>12</v>
      </c>
      <c r="W3" s="149"/>
      <c r="X3" s="155" t="str">
        <f>IF('General Data'!$H$21=1,"Northeast",IF('General Data'!$H$21=2,"Midwest",IF('General Data'!$H$21=3,"South",IF('General Data'!$H$21=4,"West",IF('General Data'!$H$21=5,"United States Average","error")))))</f>
        <v>West</v>
      </c>
      <c r="Y3" s="156"/>
      <c r="Z3" s="157"/>
      <c r="AA3" s="155"/>
    </row>
    <row r="4" spans="1:31" ht="15.75" x14ac:dyDescent="0.25">
      <c r="A4" s="147"/>
      <c r="B4" s="69" t="s">
        <v>247</v>
      </c>
      <c r="C4" s="69"/>
      <c r="D4" s="148"/>
      <c r="E4" s="148"/>
      <c r="G4" s="158" t="s">
        <v>195</v>
      </c>
      <c r="H4" s="159">
        <f>'General Data'!H13-'General Data'!H12</f>
        <v>0</v>
      </c>
      <c r="M4" s="151" t="s">
        <v>194</v>
      </c>
      <c r="N4" s="160">
        <f>'General Data'!$H$18</f>
        <v>25</v>
      </c>
      <c r="R4" s="153"/>
      <c r="S4" s="151" t="s">
        <v>255</v>
      </c>
      <c r="T4" s="161">
        <f>'General Data'!H15</f>
        <v>0.03</v>
      </c>
      <c r="V4" s="149" t="s">
        <v>13</v>
      </c>
      <c r="W4" s="149"/>
      <c r="X4" s="155" t="str">
        <f>IF('General Data'!$H$24=1,"Residential",IF('General Data'!$H$24=2,"Commercial",IF('General Data'!$H$24=3,"Industrial","error")))</f>
        <v>Commercial</v>
      </c>
      <c r="Y4" s="156"/>
      <c r="Z4" s="157"/>
      <c r="AA4" s="155"/>
    </row>
    <row r="5" spans="1:31" ht="17.25" customHeight="1" thickBot="1" x14ac:dyDescent="0.25">
      <c r="A5" s="162"/>
      <c r="B5" s="163"/>
      <c r="C5" s="163"/>
      <c r="D5" s="163"/>
      <c r="E5" s="163"/>
      <c r="F5" s="163"/>
      <c r="G5" s="163"/>
      <c r="H5" s="163"/>
      <c r="I5" s="164"/>
      <c r="J5" s="164"/>
      <c r="K5" s="164"/>
      <c r="L5" s="164"/>
      <c r="M5" s="164"/>
      <c r="N5" s="164"/>
      <c r="O5" s="164"/>
      <c r="P5" s="164"/>
      <c r="Q5" s="164"/>
      <c r="R5" s="164"/>
      <c r="S5" s="350" t="s">
        <v>254</v>
      </c>
      <c r="T5" s="351">
        <f>'General Data'!H16</f>
        <v>0.03</v>
      </c>
      <c r="U5" s="164"/>
      <c r="V5" s="164"/>
      <c r="W5" s="164"/>
      <c r="X5" s="165"/>
      <c r="Y5" s="166"/>
      <c r="Z5" s="164"/>
      <c r="AA5" s="165"/>
    </row>
    <row r="6" spans="1:31" ht="5.25" customHeight="1" thickTop="1" x14ac:dyDescent="0.2">
      <c r="A6" s="167"/>
      <c r="B6" s="168"/>
      <c r="C6" s="168"/>
      <c r="D6" s="168"/>
      <c r="E6" s="168"/>
      <c r="F6" s="169"/>
      <c r="G6" s="170"/>
      <c r="H6" s="171"/>
      <c r="I6" s="172"/>
      <c r="J6" s="172"/>
      <c r="K6" s="172"/>
      <c r="L6" s="173"/>
      <c r="M6" s="174"/>
      <c r="N6" s="172"/>
      <c r="O6" s="172"/>
      <c r="P6" s="172"/>
      <c r="Q6" s="172"/>
      <c r="R6" s="173"/>
      <c r="S6" s="174"/>
      <c r="T6" s="172"/>
      <c r="U6" s="170"/>
      <c r="X6" s="174"/>
      <c r="Y6" s="175"/>
      <c r="Z6" s="124"/>
      <c r="AA6" s="174"/>
    </row>
    <row r="7" spans="1:31" x14ac:dyDescent="0.2">
      <c r="A7" s="176"/>
      <c r="B7" s="177" t="s">
        <v>14</v>
      </c>
      <c r="C7" s="177"/>
      <c r="D7" s="177"/>
      <c r="E7" s="177"/>
      <c r="F7" s="178"/>
      <c r="G7" s="179"/>
      <c r="H7" s="180" t="s">
        <v>15</v>
      </c>
      <c r="I7" s="181"/>
      <c r="J7" s="181"/>
      <c r="K7" s="181"/>
      <c r="L7" s="182"/>
      <c r="M7" s="183"/>
      <c r="N7" s="180" t="str">
        <f>IF('General Data'!$H$27=1,"NATURAL GAS COSTS",IF('General Data'!$H$27=2,"LPG FUEL COSTS",IF('General Data'!$H$27=3,"DISTILATE FUEL OIL COSTS",IF('General Data'!$H$27=4,"RESIDUAL FUEL OIL COSTS",IF('General Data'!$H$27=5,"COAL COSTS",IF('General Data'!$H$27=0,"NO 2ND FUEL USED","error?"))))))</f>
        <v>NATURAL GAS COSTS</v>
      </c>
      <c r="O7" s="181"/>
      <c r="P7" s="181"/>
      <c r="Q7" s="181"/>
      <c r="R7" s="182"/>
      <c r="S7" s="183"/>
      <c r="T7" s="180" t="s">
        <v>16</v>
      </c>
      <c r="U7" s="179"/>
      <c r="V7" s="180" t="s">
        <v>17</v>
      </c>
      <c r="W7" s="180"/>
      <c r="X7" s="183"/>
      <c r="Y7" s="184" t="s">
        <v>151</v>
      </c>
      <c r="Z7" s="177"/>
      <c r="AA7" s="185"/>
    </row>
    <row r="8" spans="1:31" x14ac:dyDescent="0.2">
      <c r="A8" s="176"/>
      <c r="B8" s="177"/>
      <c r="C8" s="177"/>
      <c r="D8" s="177"/>
      <c r="E8" s="177"/>
      <c r="F8" s="178"/>
      <c r="G8" s="179"/>
      <c r="H8" s="180" t="s">
        <v>18</v>
      </c>
      <c r="I8" s="181"/>
      <c r="J8" s="181"/>
      <c r="K8" s="181"/>
      <c r="L8" s="182"/>
      <c r="M8" s="183"/>
      <c r="N8" s="180" t="s">
        <v>18</v>
      </c>
      <c r="O8" s="181"/>
      <c r="P8" s="181"/>
      <c r="Q8" s="181"/>
      <c r="R8" s="182"/>
      <c r="S8" s="183"/>
      <c r="T8" s="180" t="s">
        <v>19</v>
      </c>
      <c r="U8" s="179"/>
      <c r="V8" s="180" t="s">
        <v>18</v>
      </c>
      <c r="W8" s="180"/>
      <c r="X8" s="186"/>
      <c r="Y8" s="187" t="s">
        <v>20</v>
      </c>
      <c r="Z8" s="188" t="s">
        <v>21</v>
      </c>
      <c r="AA8" s="189" t="s">
        <v>54</v>
      </c>
      <c r="AC8" s="190" t="s">
        <v>61</v>
      </c>
    </row>
    <row r="9" spans="1:31" ht="6" customHeight="1" x14ac:dyDescent="0.2">
      <c r="A9" s="176"/>
      <c r="B9" s="177"/>
      <c r="C9" s="177"/>
      <c r="D9" s="177"/>
      <c r="E9" s="177"/>
      <c r="F9" s="178"/>
      <c r="G9" s="179"/>
      <c r="H9" s="180"/>
      <c r="I9" s="181"/>
      <c r="J9" s="181"/>
      <c r="K9" s="181"/>
      <c r="L9" s="182"/>
      <c r="M9" s="183"/>
      <c r="N9" s="180"/>
      <c r="O9" s="181"/>
      <c r="P9" s="181"/>
      <c r="Q9" s="181"/>
      <c r="R9" s="182"/>
      <c r="S9" s="183"/>
      <c r="T9" s="180"/>
      <c r="U9" s="179"/>
      <c r="V9" s="180"/>
      <c r="W9" s="180"/>
      <c r="X9" s="183"/>
      <c r="Y9" s="191"/>
      <c r="Z9" s="192"/>
      <c r="AA9" s="183"/>
      <c r="AC9" s="190"/>
    </row>
    <row r="10" spans="1:31" s="198" customFormat="1" x14ac:dyDescent="0.2">
      <c r="A10" s="176"/>
      <c r="B10" s="153"/>
      <c r="C10" s="193" t="s">
        <v>22</v>
      </c>
      <c r="D10" s="193"/>
      <c r="E10" s="193"/>
      <c r="F10" s="188" t="s">
        <v>23</v>
      </c>
      <c r="G10" s="170"/>
      <c r="H10" s="194" t="s">
        <v>24</v>
      </c>
      <c r="I10" s="194" t="str">
        <f>'DOE Fuel Esc Rates'!H8</f>
        <v>Electric</v>
      </c>
      <c r="J10" s="194" t="str">
        <f>I10</f>
        <v>Electric</v>
      </c>
      <c r="K10" s="194" t="s">
        <v>25</v>
      </c>
      <c r="L10" s="173" t="s">
        <v>26</v>
      </c>
      <c r="M10" s="195" t="s">
        <v>26</v>
      </c>
      <c r="N10" s="194" t="s">
        <v>24</v>
      </c>
      <c r="O10" s="194" t="str">
        <f>'DOE Fuel Esc Rates'!$W$5</f>
        <v>Nat Gas</v>
      </c>
      <c r="P10" s="194" t="str">
        <f>O10</f>
        <v>Nat Gas</v>
      </c>
      <c r="Q10" s="194" t="s">
        <v>25</v>
      </c>
      <c r="R10" s="173" t="s">
        <v>26</v>
      </c>
      <c r="S10" s="195" t="s">
        <v>26</v>
      </c>
      <c r="T10" s="194" t="s">
        <v>24</v>
      </c>
      <c r="U10" s="195" t="s">
        <v>26</v>
      </c>
      <c r="V10" s="172"/>
      <c r="W10" s="194" t="s">
        <v>173</v>
      </c>
      <c r="X10" s="195" t="s">
        <v>26</v>
      </c>
      <c r="Y10" s="196" t="s">
        <v>26</v>
      </c>
      <c r="Z10" s="197" t="s">
        <v>26</v>
      </c>
      <c r="AA10" s="195"/>
      <c r="AB10" s="74"/>
      <c r="AC10" s="190" t="s">
        <v>173</v>
      </c>
    </row>
    <row r="11" spans="1:31" s="198" customFormat="1" x14ac:dyDescent="0.2">
      <c r="A11" s="176"/>
      <c r="B11" s="199"/>
      <c r="C11" s="200" t="s">
        <v>27</v>
      </c>
      <c r="D11" s="201"/>
      <c r="E11" s="201"/>
      <c r="F11" s="200" t="s">
        <v>28</v>
      </c>
      <c r="G11" s="179"/>
      <c r="H11" s="194" t="s">
        <v>29</v>
      </c>
      <c r="I11" s="194" t="s">
        <v>30</v>
      </c>
      <c r="J11" s="194" t="s">
        <v>200</v>
      </c>
      <c r="K11" s="173" t="s">
        <v>31</v>
      </c>
      <c r="L11" s="173" t="s">
        <v>31</v>
      </c>
      <c r="M11" s="195" t="s">
        <v>32</v>
      </c>
      <c r="N11" s="194" t="s">
        <v>29</v>
      </c>
      <c r="O11" s="194" t="s">
        <v>30</v>
      </c>
      <c r="P11" s="194" t="s">
        <v>200</v>
      </c>
      <c r="Q11" s="173" t="s">
        <v>31</v>
      </c>
      <c r="R11" s="173" t="s">
        <v>31</v>
      </c>
      <c r="S11" s="195" t="str">
        <f>O10</f>
        <v>Nat Gas</v>
      </c>
      <c r="T11" s="194" t="s">
        <v>29</v>
      </c>
      <c r="U11" s="202" t="s">
        <v>29</v>
      </c>
      <c r="V11" s="172"/>
      <c r="W11" s="203" t="s">
        <v>34</v>
      </c>
      <c r="X11" s="202" t="s">
        <v>34</v>
      </c>
      <c r="Y11" s="204" t="s">
        <v>152</v>
      </c>
      <c r="Z11" s="203" t="s">
        <v>152</v>
      </c>
      <c r="AA11" s="202" t="s">
        <v>26</v>
      </c>
      <c r="AC11" s="190" t="s">
        <v>182</v>
      </c>
    </row>
    <row r="12" spans="1:31" s="198" customFormat="1" x14ac:dyDescent="0.2">
      <c r="A12" s="176" t="s">
        <v>41</v>
      </c>
      <c r="B12" s="205" t="s">
        <v>35</v>
      </c>
      <c r="C12" s="206"/>
      <c r="D12" s="207" t="s">
        <v>26</v>
      </c>
      <c r="E12" s="205" t="s">
        <v>35</v>
      </c>
      <c r="F12" s="206"/>
      <c r="G12" s="208" t="s">
        <v>26</v>
      </c>
      <c r="H12" s="173" t="s">
        <v>32</v>
      </c>
      <c r="I12" s="194" t="s">
        <v>36</v>
      </c>
      <c r="J12" s="194" t="s">
        <v>36</v>
      </c>
      <c r="K12" s="173" t="s">
        <v>37</v>
      </c>
      <c r="L12" s="173" t="s">
        <v>38</v>
      </c>
      <c r="M12" s="209" t="s">
        <v>39</v>
      </c>
      <c r="N12" s="194" t="str">
        <f>O10</f>
        <v>Nat Gas</v>
      </c>
      <c r="O12" s="194" t="s">
        <v>36</v>
      </c>
      <c r="P12" s="194" t="s">
        <v>36</v>
      </c>
      <c r="Q12" s="173" t="s">
        <v>37</v>
      </c>
      <c r="R12" s="173" t="s">
        <v>38</v>
      </c>
      <c r="S12" s="209" t="s">
        <v>39</v>
      </c>
      <c r="T12" s="210" t="s">
        <v>40</v>
      </c>
      <c r="U12" s="179"/>
      <c r="V12" s="194" t="s">
        <v>41</v>
      </c>
      <c r="W12" s="203" t="s">
        <v>42</v>
      </c>
      <c r="X12" s="202" t="s">
        <v>42</v>
      </c>
      <c r="Y12" s="204" t="s">
        <v>42</v>
      </c>
      <c r="Z12" s="203" t="s">
        <v>43</v>
      </c>
      <c r="AA12" s="211" t="s">
        <v>54</v>
      </c>
      <c r="AC12" s="190" t="s">
        <v>42</v>
      </c>
    </row>
    <row r="13" spans="1:31" s="198" customFormat="1" x14ac:dyDescent="0.2">
      <c r="A13" s="176" t="s">
        <v>188</v>
      </c>
      <c r="B13" s="212" t="s">
        <v>44</v>
      </c>
      <c r="C13" s="213" t="s">
        <v>45</v>
      </c>
      <c r="D13" s="214" t="s">
        <v>46</v>
      </c>
      <c r="E13" s="212" t="s">
        <v>44</v>
      </c>
      <c r="F13" s="213" t="s">
        <v>45</v>
      </c>
      <c r="G13" s="211" t="s">
        <v>46</v>
      </c>
      <c r="H13" s="212" t="s">
        <v>45</v>
      </c>
      <c r="I13" s="215" t="s">
        <v>47</v>
      </c>
      <c r="J13" s="215" t="s">
        <v>47</v>
      </c>
      <c r="K13" s="216" t="s">
        <v>46</v>
      </c>
      <c r="L13" s="216" t="s">
        <v>46</v>
      </c>
      <c r="M13" s="211" t="s">
        <v>46</v>
      </c>
      <c r="N13" s="215" t="s">
        <v>45</v>
      </c>
      <c r="O13" s="215" t="s">
        <v>47</v>
      </c>
      <c r="P13" s="215" t="s">
        <v>47</v>
      </c>
      <c r="Q13" s="216" t="s">
        <v>46</v>
      </c>
      <c r="R13" s="216" t="s">
        <v>46</v>
      </c>
      <c r="S13" s="211" t="s">
        <v>46</v>
      </c>
      <c r="T13" s="215" t="s">
        <v>45</v>
      </c>
      <c r="U13" s="211" t="s">
        <v>46</v>
      </c>
      <c r="V13" s="194" t="s">
        <v>186</v>
      </c>
      <c r="W13" s="213" t="s">
        <v>174</v>
      </c>
      <c r="X13" s="211" t="s">
        <v>46</v>
      </c>
      <c r="Y13" s="217" t="s">
        <v>46</v>
      </c>
      <c r="Z13" s="218" t="s">
        <v>46</v>
      </c>
      <c r="AA13" s="219" t="s">
        <v>55</v>
      </c>
    </row>
    <row r="14" spans="1:31" ht="3.75" customHeight="1" x14ac:dyDescent="0.2">
      <c r="A14" s="220"/>
      <c r="B14" s="221"/>
      <c r="C14" s="222"/>
      <c r="D14" s="223"/>
      <c r="E14" s="221"/>
      <c r="F14" s="222"/>
      <c r="G14" s="224"/>
      <c r="H14" s="221"/>
      <c r="I14" s="129"/>
      <c r="J14" s="129"/>
      <c r="K14" s="129"/>
      <c r="L14" s="225"/>
      <c r="M14" s="174"/>
      <c r="N14" s="129"/>
      <c r="O14" s="129"/>
      <c r="P14" s="129"/>
      <c r="Q14" s="129"/>
      <c r="S14" s="174"/>
      <c r="U14" s="174"/>
      <c r="V14" s="129"/>
      <c r="W14" s="129"/>
      <c r="X14" s="174"/>
      <c r="Y14" s="175"/>
      <c r="Z14" s="124"/>
      <c r="AA14" s="174"/>
      <c r="AB14" s="198"/>
      <c r="AC14" s="198"/>
      <c r="AE14" s="198"/>
    </row>
    <row r="15" spans="1:31" x14ac:dyDescent="0.2">
      <c r="A15" s="226">
        <v>0</v>
      </c>
      <c r="B15" s="50" t="s">
        <v>48</v>
      </c>
      <c r="C15" s="50">
        <v>224660</v>
      </c>
      <c r="D15" s="227">
        <f>$C15/(1+disc)^$A15</f>
        <v>224660</v>
      </c>
      <c r="E15" s="228" t="s">
        <v>49</v>
      </c>
      <c r="F15" s="229" t="s">
        <v>49</v>
      </c>
      <c r="G15" s="230" t="s">
        <v>49</v>
      </c>
      <c r="H15" s="52">
        <v>606970</v>
      </c>
      <c r="I15" s="78" t="str">
        <f>IF('General Data'!$H$30="","",'General Data'!$H$30)</f>
        <v/>
      </c>
      <c r="J15" s="78"/>
      <c r="K15" s="231">
        <f>IF(A16=1,1,VLOOKUP(A16-1,'DOE Fuel Esc Rates'!T9:AB13,8,TRUE))</f>
        <v>1</v>
      </c>
      <c r="L15" s="232"/>
      <c r="M15" s="233"/>
      <c r="N15" s="53">
        <v>21400</v>
      </c>
      <c r="O15" s="78" t="str">
        <f>IF('General Data'!$H$31="","",'General Data'!$H$31)</f>
        <v/>
      </c>
      <c r="P15" s="78"/>
      <c r="Q15" s="234">
        <f>IF(A16=1,1,VLOOKUP(A16-1,'DOE Fuel Esc Rates'!T9:AB13,9,TRUE))</f>
        <v>1</v>
      </c>
      <c r="R15" s="232"/>
      <c r="S15" s="233"/>
      <c r="T15" s="53">
        <v>0</v>
      </c>
      <c r="U15" s="233"/>
      <c r="V15" s="235"/>
      <c r="W15" s="236">
        <f>+D15+M15+S15+U15</f>
        <v>224660</v>
      </c>
      <c r="X15" s="237">
        <f>+D15+M15+S15+U15</f>
        <v>224660</v>
      </c>
      <c r="Y15" s="238">
        <f>SUM(X$15:X15)</f>
        <v>224660</v>
      </c>
      <c r="Z15" s="236">
        <f>LCC0!Y15-Y15</f>
        <v>-170360</v>
      </c>
      <c r="AA15" s="237"/>
      <c r="AB15" s="198"/>
      <c r="AC15" s="198"/>
      <c r="AE15" s="198"/>
    </row>
    <row r="16" spans="1:31" x14ac:dyDescent="0.2">
      <c r="A16" s="239">
        <f>IF(ROW(A16)-ROW($A$15)+$H$4&lt;=$N$4,A15+1+$H$4,"")</f>
        <v>1</v>
      </c>
      <c r="B16" s="51"/>
      <c r="C16" s="51">
        <v>0</v>
      </c>
      <c r="D16" s="240">
        <f>IF($A16&lt;&gt;"",$C16/((1+$T$5)^$A16),"")</f>
        <v>0</v>
      </c>
      <c r="E16" s="51"/>
      <c r="F16" s="51">
        <v>0</v>
      </c>
      <c r="G16" s="241">
        <f t="shared" ref="G16:G40" si="0">IF($A16&lt;&gt;"",$F16/((1+disc)^$A16),"")</f>
        <v>0</v>
      </c>
      <c r="H16" s="242">
        <f>IF($A16&lt;=$N$4,H$15*'General Data'!$S8,"")</f>
        <v>606970</v>
      </c>
      <c r="I16" s="243">
        <f>IF(A16&lt;&gt;"",IF(I$15="",VLOOKUP(A16,'DOE Fuel Esc Rates'!$T$9:$W$38,3,TRUE),I$15),"")</f>
        <v>2.7786548784338283E-2</v>
      </c>
      <c r="J16" s="243">
        <f>((1+I16)*(1+'General Data'!$M$25))-1</f>
        <v>2.8814335333122498E-2</v>
      </c>
      <c r="K16" s="244">
        <f>IF(H16&lt;&gt;"",H16*(1+I16)*K15,"")</f>
        <v>623835.60151562979</v>
      </c>
      <c r="L16" s="244">
        <f t="shared" ref="L16:L40" si="1">IF(H16&lt;&gt;"",H16/(1+disc)^$A16,"")</f>
        <v>589291.26213592233</v>
      </c>
      <c r="M16" s="241">
        <f t="shared" ref="M16:M40" si="2">IF(H16&lt;&gt;"",K16/(1+disc)^$A16,"")</f>
        <v>605665.63253944635</v>
      </c>
      <c r="N16" s="242">
        <f>IF($A16&lt;=$N$4,N$15*'General Data'!$S8,"")</f>
        <v>21400</v>
      </c>
      <c r="O16" s="243">
        <f>IF(A16&lt;&gt;"",IF(O$15="",VLOOKUP(A16,'DOE Fuel Esc Rates'!$T$9:$W$38,4,TRUE),O$15),"")</f>
        <v>1.2387387387387427E-2</v>
      </c>
      <c r="P16" s="243">
        <f>((1+O16)*(1+'General Data'!$M$25))-1</f>
        <v>1.339977477477472E-2</v>
      </c>
      <c r="Q16" s="244">
        <f>IF(N16&lt;&gt;"",N16*(1+O16)*Q15,"")</f>
        <v>21665.090090090092</v>
      </c>
      <c r="R16" s="244">
        <f t="shared" ref="R16:R40" si="3">IF(N16&lt;&gt;"",N16/(1+disc)^$A16,"")</f>
        <v>20776.699029126212</v>
      </c>
      <c r="S16" s="241">
        <f t="shared" ref="S16:S40" si="4">IF(N16&lt;&gt;"",Q16/((1+disc)^$A16),"")</f>
        <v>21034.068048631158</v>
      </c>
      <c r="T16" s="242">
        <f t="shared" ref="T16:T40" si="5">IF($A16&lt;=$N$4,T$15,"")</f>
        <v>0</v>
      </c>
      <c r="U16" s="245">
        <f t="shared" ref="U16:U40" si="6">IF(T16&lt;&gt;"",T16/(1+disc)^A16,"")</f>
        <v>0</v>
      </c>
      <c r="V16" s="246">
        <f>IF($A16&lt;=$N$4,VLOOKUP(A16,'DOE Fuel Esc Rates'!$T$9:$W$38,2,TRUE),"")</f>
        <v>2015</v>
      </c>
      <c r="W16" s="247">
        <f t="shared" ref="W16:W40" si="7">IF(A16&lt;&gt;"",SUM(C16,F16,K16,Q16,T16),"")</f>
        <v>645500.69160571985</v>
      </c>
      <c r="X16" s="241">
        <f t="shared" ref="X16:X40" si="8">IF(A16&lt;&gt;"",SUM(D16,G16,M16,S16,U16),"")</f>
        <v>626699.70058807754</v>
      </c>
      <c r="Y16" s="248">
        <f>IF(A16&lt;&gt;"",SUM(X$15:X16),"")</f>
        <v>851359.70058807754</v>
      </c>
      <c r="Z16" s="249">
        <f>IF(A16&lt;&gt;"",LCC0!Y16-Y16,"")</f>
        <v>-117273.06128584675</v>
      </c>
      <c r="AA16" s="312" t="str">
        <f>IF(A16&lt;&gt;"",IF(Z16&gt;0,A15+(-Z15)/(Z16-Z15),""),"")</f>
        <v/>
      </c>
      <c r="AB16" s="198"/>
      <c r="AC16" s="251">
        <f t="shared" ref="AC16:AC40" si="9">SUM(K16,Q16)</f>
        <v>645500.69160571985</v>
      </c>
      <c r="AE16" s="198"/>
    </row>
    <row r="17" spans="1:31" x14ac:dyDescent="0.2">
      <c r="A17" s="176">
        <f>IF(ROW(A17)-ROW($A$15)+$H$4&lt;=$N$4,A16+1,"")</f>
        <v>2</v>
      </c>
      <c r="B17" s="56"/>
      <c r="C17" s="51">
        <v>0</v>
      </c>
      <c r="D17" s="252">
        <f t="shared" ref="D17:D40" si="10">IF($A17&lt;&gt;"",$C17/((1+$T$5)^$A17),"")</f>
        <v>0</v>
      </c>
      <c r="E17" s="56"/>
      <c r="F17" s="51">
        <v>0</v>
      </c>
      <c r="G17" s="241">
        <f t="shared" si="0"/>
        <v>0</v>
      </c>
      <c r="H17" s="242">
        <f>IF($A17&lt;=$N$4,H$15*'General Data'!$S9,"")</f>
        <v>606970</v>
      </c>
      <c r="I17" s="243">
        <f>IF(A17&lt;&gt;"",IF(I$15="",VLOOKUP(A17,'DOE Fuel Esc Rates'!$T$9:$W$38,3,TRUE),I$15),"")</f>
        <v>1.3824884792626779E-2</v>
      </c>
      <c r="J17" s="243">
        <f>((1+I17)*(1+'General Data'!$M$25))-1</f>
        <v>1.4838709677419404E-2</v>
      </c>
      <c r="K17" s="253">
        <f t="shared" ref="K17:K40" si="11">IF(H17&lt;&gt;"",K16*(1+I17),"")</f>
        <v>632460.05683612241</v>
      </c>
      <c r="L17" s="253">
        <f t="shared" si="1"/>
        <v>572127.43896691489</v>
      </c>
      <c r="M17" s="241">
        <f t="shared" si="2"/>
        <v>596154.26226423075</v>
      </c>
      <c r="N17" s="242">
        <f>IF($A17&lt;=$N$4,N$15*'General Data'!$S9,"")</f>
        <v>21400</v>
      </c>
      <c r="O17" s="243">
        <f>IF(A17&lt;&gt;"",IF(O$15="",VLOOKUP(A17,'DOE Fuel Esc Rates'!$T$9:$W$38,4,TRUE),O$15),"")</f>
        <v>1.1123470522802492E-3</v>
      </c>
      <c r="P17" s="243">
        <f>((1+O17)*(1+'General Data'!$M$25))-1</f>
        <v>2.1134593993323847E-3</v>
      </c>
      <c r="Q17" s="253">
        <f t="shared" ref="Q17:Q40" si="12">IF(N17&lt;&gt;"",Q16*(1+O17),"")</f>
        <v>21689.18918918919</v>
      </c>
      <c r="R17" s="253">
        <f t="shared" si="3"/>
        <v>20171.552455462344</v>
      </c>
      <c r="S17" s="241">
        <f t="shared" si="4"/>
        <v>20444.141002157783</v>
      </c>
      <c r="T17" s="242">
        <f t="shared" si="5"/>
        <v>0</v>
      </c>
      <c r="U17" s="245">
        <f t="shared" si="6"/>
        <v>0</v>
      </c>
      <c r="V17" s="246">
        <f>IF($A17&lt;=$N$4,VLOOKUP(A17,'DOE Fuel Esc Rates'!$T$9:$W$38,2,TRUE),"")</f>
        <v>2016</v>
      </c>
      <c r="W17" s="247">
        <f t="shared" si="7"/>
        <v>654149.24602531164</v>
      </c>
      <c r="X17" s="241">
        <f t="shared" si="8"/>
        <v>616598.40326638857</v>
      </c>
      <c r="Y17" s="248">
        <f>IF(A17&lt;&gt;"",SUM(X$15:X17),"")</f>
        <v>1467958.1038544662</v>
      </c>
      <c r="Z17" s="249">
        <f>IF(A17&lt;&gt;"",LCC0!Y17-Y17,"")</f>
        <v>-65067.353998453822</v>
      </c>
      <c r="AA17" s="312" t="str">
        <f>IF(A17&lt;&gt;"",IF(Z17&gt;0,IF(SUM(AA$16:AA16)=0,A16+(-Z16)/(Z17-Z16),""),""),"")</f>
        <v/>
      </c>
      <c r="AB17" s="198"/>
      <c r="AC17" s="251">
        <f t="shared" si="9"/>
        <v>654149.24602531164</v>
      </c>
      <c r="AE17" s="198"/>
    </row>
    <row r="18" spans="1:31" x14ac:dyDescent="0.2">
      <c r="A18" s="176">
        <f t="shared" ref="A18:A40" si="13">IF(ROW(A18)-ROW($A$15)+$H$4&lt;=$N$4,A17+1,"")</f>
        <v>3</v>
      </c>
      <c r="B18" s="56"/>
      <c r="C18" s="51">
        <v>0</v>
      </c>
      <c r="D18" s="252">
        <f t="shared" si="10"/>
        <v>0</v>
      </c>
      <c r="E18" s="56"/>
      <c r="F18" s="51">
        <v>0</v>
      </c>
      <c r="G18" s="241">
        <f t="shared" si="0"/>
        <v>0</v>
      </c>
      <c r="H18" s="242">
        <f>IF($A18&lt;=$N$4,H$15*'General Data'!$S10,"")</f>
        <v>606970</v>
      </c>
      <c r="I18" s="243">
        <f>IF(A18&lt;&gt;"",IF(I$15="",VLOOKUP(A18,'DOE Fuel Esc Rates'!$T$9:$W$38,3,TRUE),I$15),"")</f>
        <v>-1.0606060606060619E-2</v>
      </c>
      <c r="J18" s="243">
        <f>((1+I18)*(1+'General Data'!$M$25))-1</f>
        <v>-9.6166666666668288E-3</v>
      </c>
      <c r="K18" s="253">
        <f t="shared" si="11"/>
        <v>625752.14714240597</v>
      </c>
      <c r="L18" s="253">
        <f t="shared" si="1"/>
        <v>555463.53297758731</v>
      </c>
      <c r="M18" s="241">
        <f t="shared" si="2"/>
        <v>572651.85827970388</v>
      </c>
      <c r="N18" s="242">
        <f>IF($A18&lt;=$N$4,N$15*'General Data'!$S10,"")</f>
        <v>21400</v>
      </c>
      <c r="O18" s="243">
        <f>IF(A18&lt;&gt;"",IF(O$15="",VLOOKUP(A18,'DOE Fuel Esc Rates'!$T$9:$W$38,4,TRUE),O$15),"")</f>
        <v>-1.1111111111110628E-3</v>
      </c>
      <c r="P18" s="243">
        <f>((1+O18)*(1+'General Data'!$M$25))-1</f>
        <v>-1.1222222222229128E-4</v>
      </c>
      <c r="Q18" s="253">
        <f t="shared" si="12"/>
        <v>21665.090090090092</v>
      </c>
      <c r="R18" s="253">
        <f t="shared" si="3"/>
        <v>19584.031510157616</v>
      </c>
      <c r="S18" s="241">
        <f t="shared" si="4"/>
        <v>19826.626495080742</v>
      </c>
      <c r="T18" s="242">
        <f t="shared" si="5"/>
        <v>0</v>
      </c>
      <c r="U18" s="245">
        <f t="shared" si="6"/>
        <v>0</v>
      </c>
      <c r="V18" s="246">
        <f>IF($A18&lt;=$N$4,VLOOKUP(A18,'DOE Fuel Esc Rates'!$T$9:$W$38,2,TRUE),"")</f>
        <v>2017</v>
      </c>
      <c r="W18" s="247">
        <f t="shared" si="7"/>
        <v>647417.23723249603</v>
      </c>
      <c r="X18" s="241">
        <f t="shared" si="8"/>
        <v>592478.48477478465</v>
      </c>
      <c r="Y18" s="248">
        <f>IF(A18&lt;&gt;"",SUM(X$15:X18),"")</f>
        <v>2060436.5886292509</v>
      </c>
      <c r="Z18" s="249">
        <f>IF(A18&lt;&gt;"",LCC0!Y18-Y18,"")</f>
        <v>-14885.249042218784</v>
      </c>
      <c r="AA18" s="312" t="str">
        <f>IF(A18&lt;&gt;"",IF(Z18&gt;0,IF(SUM(AA$16:AA17)=0,A17+(-Z17)/(Z18-Z17),""),""),"")</f>
        <v/>
      </c>
      <c r="AB18" s="198"/>
      <c r="AC18" s="251">
        <f t="shared" si="9"/>
        <v>647417.23723249603</v>
      </c>
      <c r="AE18" s="198"/>
    </row>
    <row r="19" spans="1:31" x14ac:dyDescent="0.2">
      <c r="A19" s="176">
        <f t="shared" si="13"/>
        <v>4</v>
      </c>
      <c r="B19" s="56"/>
      <c r="C19" s="51">
        <v>0</v>
      </c>
      <c r="D19" s="252">
        <f t="shared" si="10"/>
        <v>0</v>
      </c>
      <c r="E19" s="56"/>
      <c r="F19" s="51">
        <v>0</v>
      </c>
      <c r="G19" s="241">
        <f t="shared" si="0"/>
        <v>0</v>
      </c>
      <c r="H19" s="242">
        <f>IF($A19&lt;=$N$4,H$15*'General Data'!$S11,"")</f>
        <v>606970</v>
      </c>
      <c r="I19" s="243">
        <f>IF(A19&lt;&gt;"",IF(I$15="",VLOOKUP(A19,'DOE Fuel Esc Rates'!$T$9:$W$38,3,TRUE),I$15),"")</f>
        <v>-7.9632465543644226E-3</v>
      </c>
      <c r="J19" s="243">
        <f>((1+I19)*(1+'General Data'!$M$25))-1</f>
        <v>-6.9712098009189205E-3</v>
      </c>
      <c r="K19" s="253">
        <f t="shared" si="11"/>
        <v>620769.1285127881</v>
      </c>
      <c r="L19" s="253">
        <f t="shared" si="1"/>
        <v>539284.98347338568</v>
      </c>
      <c r="M19" s="241">
        <f t="shared" si="2"/>
        <v>551545.33042952209</v>
      </c>
      <c r="N19" s="242">
        <f>IF($A19&lt;=$N$4,N$15*'General Data'!$S11,"")</f>
        <v>21400</v>
      </c>
      <c r="O19" s="243">
        <f>IF(A19&lt;&gt;"",IF(O$15="",VLOOKUP(A19,'DOE Fuel Esc Rates'!$T$9:$W$38,4,TRUE),O$15),"")</f>
        <v>3.6707452725250223E-2</v>
      </c>
      <c r="P19" s="243">
        <f>((1+O19)*(1+'General Data'!$M$25))-1</f>
        <v>3.7744160177975328E-2</v>
      </c>
      <c r="Q19" s="253">
        <f t="shared" si="12"/>
        <v>22460.360360360362</v>
      </c>
      <c r="R19" s="253">
        <f t="shared" si="3"/>
        <v>19013.622825395745</v>
      </c>
      <c r="S19" s="241">
        <f t="shared" si="4"/>
        <v>19955.739271699138</v>
      </c>
      <c r="T19" s="242">
        <f t="shared" si="5"/>
        <v>0</v>
      </c>
      <c r="U19" s="245">
        <f t="shared" si="6"/>
        <v>0</v>
      </c>
      <c r="V19" s="246">
        <f>IF($A19&lt;=$N$4,VLOOKUP(A19,'DOE Fuel Esc Rates'!$T$9:$W$38,2,TRUE),"")</f>
        <v>2018</v>
      </c>
      <c r="W19" s="247">
        <f t="shared" si="7"/>
        <v>643229.48887314845</v>
      </c>
      <c r="X19" s="241">
        <f t="shared" si="8"/>
        <v>571501.06970122119</v>
      </c>
      <c r="Y19" s="248">
        <f>IF(A19&lt;&gt;"",SUM(X$15:X19),"")</f>
        <v>2631937.6583304722</v>
      </c>
      <c r="Z19" s="249">
        <f>IF(A19&lt;&gt;"",LCC0!Y19-Y19,"")</f>
        <v>33604.777391389478</v>
      </c>
      <c r="AA19" s="312">
        <f>IF(A19&lt;&gt;"",IF(Z19&gt;0,IF(SUM(AA$16:AA18)=0,A18+(-Z18)/(Z19-Z18),""),""),"")</f>
        <v>3.3069754779902918</v>
      </c>
      <c r="AB19" s="198"/>
      <c r="AC19" s="251">
        <f t="shared" si="9"/>
        <v>643229.48887314845</v>
      </c>
      <c r="AE19" s="198"/>
    </row>
    <row r="20" spans="1:31" x14ac:dyDescent="0.2">
      <c r="A20" s="176">
        <f t="shared" si="13"/>
        <v>5</v>
      </c>
      <c r="B20" s="56"/>
      <c r="C20" s="51">
        <v>0</v>
      </c>
      <c r="D20" s="252">
        <f t="shared" si="10"/>
        <v>0</v>
      </c>
      <c r="E20" s="56"/>
      <c r="F20" s="51">
        <v>0</v>
      </c>
      <c r="G20" s="241">
        <f t="shared" si="0"/>
        <v>0</v>
      </c>
      <c r="H20" s="242">
        <f>IF($A20&lt;=$N$4,H$15*'General Data'!$S12,"")</f>
        <v>606970</v>
      </c>
      <c r="I20" s="243">
        <f>IF(A20&lt;&gt;"",IF(I$15="",VLOOKUP(A20,'DOE Fuel Esc Rates'!$T$9:$W$38,3,TRUE),I$15),"")</f>
        <v>6.1747452917559897E-4</v>
      </c>
      <c r="J20" s="243">
        <f>((1+I20)*(1+'General Data'!$M$25))-1</f>
        <v>1.6180920037047741E-3</v>
      </c>
      <c r="K20" s="253">
        <f t="shared" si="11"/>
        <v>621152.43763814331</v>
      </c>
      <c r="L20" s="253">
        <f t="shared" si="1"/>
        <v>523577.65385765606</v>
      </c>
      <c r="M20" s="241">
        <f t="shared" si="2"/>
        <v>535811.54914829915</v>
      </c>
      <c r="N20" s="242">
        <f>IF($A20&lt;=$N$4,N$15*'General Data'!$S12,"")</f>
        <v>21400</v>
      </c>
      <c r="O20" s="243">
        <f>IF(A20&lt;&gt;"",IF(O$15="",VLOOKUP(A20,'DOE Fuel Esc Rates'!$T$9:$W$38,4,TRUE),O$15),"")</f>
        <v>4.7210300429184393E-2</v>
      </c>
      <c r="P20" s="243">
        <f>((1+O20)*(1+'General Data'!$M$25))-1</f>
        <v>4.8257510729613484E-2</v>
      </c>
      <c r="Q20" s="253">
        <f t="shared" si="12"/>
        <v>23520.720720720721</v>
      </c>
      <c r="R20" s="253">
        <f t="shared" si="3"/>
        <v>18459.827985821114</v>
      </c>
      <c r="S20" s="241">
        <f t="shared" si="4"/>
        <v>20289.18030874032</v>
      </c>
      <c r="T20" s="242">
        <f t="shared" si="5"/>
        <v>0</v>
      </c>
      <c r="U20" s="245">
        <f t="shared" si="6"/>
        <v>0</v>
      </c>
      <c r="V20" s="246">
        <f>IF($A20&lt;=$N$4,VLOOKUP(A20,'DOE Fuel Esc Rates'!$T$9:$W$38,2,TRUE),"")</f>
        <v>2019</v>
      </c>
      <c r="W20" s="247">
        <f t="shared" si="7"/>
        <v>644673.15835886402</v>
      </c>
      <c r="X20" s="241">
        <f t="shared" si="8"/>
        <v>556100.7294570395</v>
      </c>
      <c r="Y20" s="248">
        <f>IF(A20&lt;&gt;"",SUM(X$15:X20),"")</f>
        <v>3188038.3877875116</v>
      </c>
      <c r="Z20" s="249">
        <f>IF(A20&lt;&gt;"",LCC0!Y20-Y20,"")</f>
        <v>80876.898991168011</v>
      </c>
      <c r="AA20" s="312" t="str">
        <f>IF(A20&lt;&gt;"",IF(Z20&gt;0,IF(SUM(AA$16:AA19)=0,A19+(-Z19)/(Z20-Z19),""),""),"")</f>
        <v/>
      </c>
      <c r="AB20" s="198"/>
      <c r="AC20" s="251">
        <f t="shared" si="9"/>
        <v>644673.15835886402</v>
      </c>
      <c r="AE20" s="198"/>
    </row>
    <row r="21" spans="1:31" x14ac:dyDescent="0.2">
      <c r="A21" s="176">
        <f t="shared" si="13"/>
        <v>6</v>
      </c>
      <c r="B21" s="56"/>
      <c r="C21" s="51">
        <v>0</v>
      </c>
      <c r="D21" s="252">
        <f t="shared" si="10"/>
        <v>0</v>
      </c>
      <c r="E21" s="56"/>
      <c r="F21" s="51">
        <v>0</v>
      </c>
      <c r="G21" s="241">
        <f t="shared" si="0"/>
        <v>0</v>
      </c>
      <c r="H21" s="242">
        <f>IF($A21&lt;=$N$4,H$15*'General Data'!$S13,"")</f>
        <v>606970</v>
      </c>
      <c r="I21" s="243">
        <f>IF(A21&lt;&gt;"",IF(I$15="",VLOOKUP(A21,'DOE Fuel Esc Rates'!$T$9:$W$38,3,TRUE),I$15),"")</f>
        <v>3.7025609379821578E-3</v>
      </c>
      <c r="J21" s="243">
        <f>((1+I21)*(1+'General Data'!$M$25))-1</f>
        <v>4.7062634989201158E-3</v>
      </c>
      <c r="K21" s="253">
        <f t="shared" si="11"/>
        <v>623452.2923902747</v>
      </c>
      <c r="L21" s="253">
        <f t="shared" si="1"/>
        <v>508327.8192792777</v>
      </c>
      <c r="M21" s="241">
        <f t="shared" si="2"/>
        <v>522131.47967018955</v>
      </c>
      <c r="N21" s="242">
        <f>IF($A21&lt;=$N$4,N$15*'General Data'!$S13,"")</f>
        <v>21400</v>
      </c>
      <c r="O21" s="243">
        <f>IF(A21&lt;&gt;"",IF(O$15="",VLOOKUP(A21,'DOE Fuel Esc Rates'!$T$9:$W$38,4,TRUE),O$15),"")</f>
        <v>3.5860655737704805E-2</v>
      </c>
      <c r="P21" s="243">
        <f>((1+O21)*(1+'General Data'!$M$25))-1</f>
        <v>3.6896516393442491E-2</v>
      </c>
      <c r="Q21" s="253">
        <f t="shared" si="12"/>
        <v>24364.189189189186</v>
      </c>
      <c r="R21" s="253">
        <f t="shared" si="3"/>
        <v>17922.163093030205</v>
      </c>
      <c r="S21" s="241">
        <f t="shared" si="4"/>
        <v>20404.624872808035</v>
      </c>
      <c r="T21" s="242">
        <f t="shared" si="5"/>
        <v>0</v>
      </c>
      <c r="U21" s="245">
        <f t="shared" si="6"/>
        <v>0</v>
      </c>
      <c r="V21" s="246">
        <f>IF($A21&lt;=$N$4,VLOOKUP(A21,'DOE Fuel Esc Rates'!$T$9:$W$38,2,TRUE),"")</f>
        <v>2020</v>
      </c>
      <c r="W21" s="247">
        <f t="shared" si="7"/>
        <v>647816.48157946393</v>
      </c>
      <c r="X21" s="241">
        <f t="shared" si="8"/>
        <v>542536.10454299755</v>
      </c>
      <c r="Y21" s="248">
        <f>IF(A21&lt;&gt;"",SUM(X$15:X21),"")</f>
        <v>3730574.4923305092</v>
      </c>
      <c r="Z21" s="249">
        <f>IF(A21&lt;&gt;"",LCC0!Y21-Y21,"")</f>
        <v>127058.12792469189</v>
      </c>
      <c r="AA21" s="312" t="str">
        <f>IF(A21&lt;&gt;"",IF(Z21&gt;0,IF(SUM(AA$16:AA20)=0,A20+(-Z20)/(Z21-Z20),""),""),"")</f>
        <v/>
      </c>
      <c r="AB21" s="198"/>
      <c r="AC21" s="251">
        <f t="shared" si="9"/>
        <v>647816.48157946393</v>
      </c>
      <c r="AE21" s="198"/>
    </row>
    <row r="22" spans="1:31" x14ac:dyDescent="0.2">
      <c r="A22" s="176">
        <f t="shared" si="13"/>
        <v>7</v>
      </c>
      <c r="B22" s="56"/>
      <c r="C22" s="51">
        <v>0</v>
      </c>
      <c r="D22" s="252">
        <f t="shared" si="10"/>
        <v>0</v>
      </c>
      <c r="E22" s="56"/>
      <c r="F22" s="51">
        <v>0</v>
      </c>
      <c r="G22" s="241">
        <f t="shared" si="0"/>
        <v>0</v>
      </c>
      <c r="H22" s="242">
        <f>IF($A22&lt;=$N$4,H$15*'General Data'!$S14,"")</f>
        <v>606970</v>
      </c>
      <c r="I22" s="243">
        <f>IF(A22&lt;&gt;"",IF(I$15="",VLOOKUP(A22,'DOE Fuel Esc Rates'!$T$9:$W$38,3,TRUE),I$15),"")</f>
        <v>1.8444512757456177E-3</v>
      </c>
      <c r="J22" s="243">
        <f>((1+I22)*(1+'General Data'!$M$25))-1</f>
        <v>2.8462957270212197E-3</v>
      </c>
      <c r="K22" s="253">
        <f t="shared" si="11"/>
        <v>624602.21976634045</v>
      </c>
      <c r="L22" s="253">
        <f t="shared" si="1"/>
        <v>493522.1546400754</v>
      </c>
      <c r="M22" s="241">
        <f t="shared" si="2"/>
        <v>507858.76285822736</v>
      </c>
      <c r="N22" s="242">
        <f>IF($A22&lt;=$N$4,N$15*'General Data'!$S14,"")</f>
        <v>21400</v>
      </c>
      <c r="O22" s="243">
        <f>IF(A22&lt;&gt;"",IF(O$15="",VLOOKUP(A22,'DOE Fuel Esc Rates'!$T$9:$W$38,4,TRUE),O$15),"")</f>
        <v>2.0771513353115889E-2</v>
      </c>
      <c r="P22" s="243">
        <f>((1+O22)*(1+'General Data'!$M$25))-1</f>
        <v>2.1792284866468892E-2</v>
      </c>
      <c r="Q22" s="253">
        <f t="shared" si="12"/>
        <v>24870.27027027027</v>
      </c>
      <c r="R22" s="253">
        <f t="shared" si="3"/>
        <v>17400.158342747771</v>
      </c>
      <c r="S22" s="241">
        <f t="shared" si="4"/>
        <v>20221.805641571733</v>
      </c>
      <c r="T22" s="242">
        <f t="shared" si="5"/>
        <v>0</v>
      </c>
      <c r="U22" s="245">
        <f t="shared" si="6"/>
        <v>0</v>
      </c>
      <c r="V22" s="246">
        <f>IF($A22&lt;=$N$4,VLOOKUP(A22,'DOE Fuel Esc Rates'!$T$9:$W$38,2,TRUE),"")</f>
        <v>2021</v>
      </c>
      <c r="W22" s="247">
        <f t="shared" si="7"/>
        <v>649472.49003661075</v>
      </c>
      <c r="X22" s="241">
        <f t="shared" si="8"/>
        <v>528080.56849979912</v>
      </c>
      <c r="Y22" s="248">
        <f>IF(A22&lt;&gt;"",SUM(X$15:X22),"")</f>
        <v>4258655.0608303081</v>
      </c>
      <c r="Z22" s="249">
        <f>IF(A22&lt;&gt;"",LCC0!Y22-Y22,"")</f>
        <v>172045.65323026851</v>
      </c>
      <c r="AA22" s="312" t="str">
        <f>IF(A22&lt;&gt;"",IF(Z22&gt;0,IF(SUM(AA$16:AA21)=0,A21+(-Z21)/(Z22-Z21),""),""),"")</f>
        <v/>
      </c>
      <c r="AB22" s="198"/>
      <c r="AC22" s="251">
        <f t="shared" si="9"/>
        <v>649472.49003661075</v>
      </c>
      <c r="AE22" s="198"/>
    </row>
    <row r="23" spans="1:31" x14ac:dyDescent="0.2">
      <c r="A23" s="176">
        <f t="shared" si="13"/>
        <v>8</v>
      </c>
      <c r="B23" s="56"/>
      <c r="C23" s="51">
        <v>0</v>
      </c>
      <c r="D23" s="252">
        <f t="shared" si="10"/>
        <v>0</v>
      </c>
      <c r="E23" s="56" t="s">
        <v>50</v>
      </c>
      <c r="F23" s="51">
        <v>0</v>
      </c>
      <c r="G23" s="241">
        <f t="shared" si="0"/>
        <v>0</v>
      </c>
      <c r="H23" s="242">
        <f>IF($A23&lt;=$N$4,H$15*'General Data'!$S15,"")</f>
        <v>606970</v>
      </c>
      <c r="I23" s="243">
        <f>IF(A23&lt;&gt;"",IF(I$15="",VLOOKUP(A23,'DOE Fuel Esc Rates'!$T$9:$W$38,3,TRUE),I$15),"")</f>
        <v>-2.1478981282602172E-3</v>
      </c>
      <c r="J23" s="243">
        <f>((1+I23)*(1+'General Data'!$M$25))-1</f>
        <v>-1.1500460263885737E-3</v>
      </c>
      <c r="K23" s="253">
        <f t="shared" si="11"/>
        <v>623260.63782759721</v>
      </c>
      <c r="L23" s="253">
        <f t="shared" si="1"/>
        <v>479147.72295152961</v>
      </c>
      <c r="M23" s="241">
        <f t="shared" si="2"/>
        <v>492007.70288549876</v>
      </c>
      <c r="N23" s="242">
        <f>IF($A23&lt;=$N$4,N$15*'General Data'!$S15,"")</f>
        <v>21400</v>
      </c>
      <c r="O23" s="243">
        <f>IF(A23&lt;&gt;"",IF(O$15="",VLOOKUP(A23,'DOE Fuel Esc Rates'!$T$9:$W$38,4,TRUE),O$15),"")</f>
        <v>1.744186046511631E-2</v>
      </c>
      <c r="P23" s="243">
        <f>((1+O23)*(1+'General Data'!$M$25))-1</f>
        <v>1.8459302325581239E-2</v>
      </c>
      <c r="Q23" s="253">
        <f t="shared" si="12"/>
        <v>25304.054054054053</v>
      </c>
      <c r="R23" s="253">
        <f t="shared" si="3"/>
        <v>16893.357614318225</v>
      </c>
      <c r="S23" s="241">
        <f t="shared" si="4"/>
        <v>19975.253935849254</v>
      </c>
      <c r="T23" s="242">
        <f t="shared" si="5"/>
        <v>0</v>
      </c>
      <c r="U23" s="245">
        <f t="shared" si="6"/>
        <v>0</v>
      </c>
      <c r="V23" s="246">
        <f>IF($A23&lt;=$N$4,VLOOKUP(A23,'DOE Fuel Esc Rates'!$T$9:$W$38,2,TRUE),"")</f>
        <v>2022</v>
      </c>
      <c r="W23" s="247">
        <f t="shared" si="7"/>
        <v>648564.69188165129</v>
      </c>
      <c r="X23" s="241">
        <f t="shared" si="8"/>
        <v>511982.95682134799</v>
      </c>
      <c r="Y23" s="248">
        <f>IF(A23&lt;&gt;"",SUM(X$15:X23),"")</f>
        <v>4770638.0176516557</v>
      </c>
      <c r="Z23" s="249">
        <f>IF(A23&lt;&gt;"",LCC0!Y23-Y23,"")</f>
        <v>215699.49857014231</v>
      </c>
      <c r="AA23" s="312" t="str">
        <f>IF(A23&lt;&gt;"",IF(Z23&gt;0,IF(SUM(AA$16:AA22)=0,A22+(-Z22)/(Z23-Z22),""),""),"")</f>
        <v/>
      </c>
      <c r="AB23" s="198"/>
      <c r="AC23" s="251">
        <f t="shared" si="9"/>
        <v>648564.69188165129</v>
      </c>
      <c r="AE23" s="198"/>
    </row>
    <row r="24" spans="1:31" x14ac:dyDescent="0.2">
      <c r="A24" s="176">
        <f t="shared" si="13"/>
        <v>9</v>
      </c>
      <c r="B24" s="56"/>
      <c r="C24" s="51">
        <v>0</v>
      </c>
      <c r="D24" s="252">
        <f t="shared" si="10"/>
        <v>0</v>
      </c>
      <c r="E24" s="56"/>
      <c r="F24" s="51">
        <v>0</v>
      </c>
      <c r="G24" s="241">
        <f t="shared" si="0"/>
        <v>0</v>
      </c>
      <c r="H24" s="242">
        <f>IF($A24&lt;=$N$4,H$15*'General Data'!$S16,"")</f>
        <v>606970</v>
      </c>
      <c r="I24" s="243">
        <f>IF(A24&lt;&gt;"",IF(I$15="",VLOOKUP(A24,'DOE Fuel Esc Rates'!$T$9:$W$38,3,TRUE),I$15),"")</f>
        <v>-2.4600246002461912E-3</v>
      </c>
      <c r="J24" s="243">
        <f>((1+I24)*(1+'General Data'!$M$25))-1</f>
        <v>-1.4624846248465495E-3</v>
      </c>
      <c r="K24" s="253">
        <f t="shared" si="11"/>
        <v>621727.40132617624</v>
      </c>
      <c r="L24" s="253">
        <f t="shared" si="1"/>
        <v>465191.96403061127</v>
      </c>
      <c r="M24" s="241">
        <f t="shared" si="2"/>
        <v>476502.28333290276</v>
      </c>
      <c r="N24" s="242">
        <f>IF($A24&lt;=$N$4,N$15*'General Data'!$S16,"")</f>
        <v>21400</v>
      </c>
      <c r="O24" s="243">
        <f>IF(A24&lt;&gt;"",IF(O$15="",VLOOKUP(A24,'DOE Fuel Esc Rates'!$T$9:$W$38,4,TRUE),O$15),"")</f>
        <v>1.0476190476190528E-2</v>
      </c>
      <c r="P24" s="243">
        <f>((1+O24)*(1+'General Data'!$M$25))-1</f>
        <v>1.1486666666666645E-2</v>
      </c>
      <c r="Q24" s="253">
        <f t="shared" si="12"/>
        <v>25569.144144144146</v>
      </c>
      <c r="R24" s="253">
        <f t="shared" si="3"/>
        <v>16401.318072153616</v>
      </c>
      <c r="S24" s="241">
        <f t="shared" si="4"/>
        <v>19596.619903778141</v>
      </c>
      <c r="T24" s="242">
        <f t="shared" si="5"/>
        <v>0</v>
      </c>
      <c r="U24" s="245">
        <f t="shared" si="6"/>
        <v>0</v>
      </c>
      <c r="V24" s="246">
        <f>IF($A24&lt;=$N$4,VLOOKUP(A24,'DOE Fuel Esc Rates'!$T$9:$W$38,2,TRUE),"")</f>
        <v>2023</v>
      </c>
      <c r="W24" s="247">
        <f t="shared" si="7"/>
        <v>647296.54547032039</v>
      </c>
      <c r="X24" s="241">
        <f t="shared" si="8"/>
        <v>496098.9032366809</v>
      </c>
      <c r="Y24" s="248">
        <f>IF(A24&lt;&gt;"",SUM(X$15:X24),"")</f>
        <v>5266736.9208883364</v>
      </c>
      <c r="Z24" s="249">
        <f>IF(A24&lt;&gt;"",LCC0!Y24-Y24,"")</f>
        <v>258023.56619775575</v>
      </c>
      <c r="AA24" s="312" t="str">
        <f>IF(A24&lt;&gt;"",IF(Z24&gt;0,IF(SUM(AA$16:AA23)=0,A23+(-Z23)/(Z24-Z23),""),""),"")</f>
        <v/>
      </c>
      <c r="AB24" s="198"/>
      <c r="AC24" s="251">
        <f t="shared" si="9"/>
        <v>647296.54547032039</v>
      </c>
      <c r="AE24" s="198"/>
    </row>
    <row r="25" spans="1:31" x14ac:dyDescent="0.2">
      <c r="A25" s="176">
        <f t="shared" si="13"/>
        <v>10</v>
      </c>
      <c r="B25" s="56"/>
      <c r="C25" s="51">
        <v>0</v>
      </c>
      <c r="D25" s="252">
        <f t="shared" si="10"/>
        <v>0</v>
      </c>
      <c r="E25" s="56"/>
      <c r="F25" s="51">
        <v>0</v>
      </c>
      <c r="G25" s="241">
        <f t="shared" si="0"/>
        <v>0</v>
      </c>
      <c r="H25" s="242">
        <f>IF($A25&lt;=$N$4,H$15*'General Data'!$S17,"")</f>
        <v>606970</v>
      </c>
      <c r="I25" s="243">
        <f>IF(A25&lt;&gt;"",IF(I$15="",VLOOKUP(A25,'DOE Fuel Esc Rates'!$T$9:$W$38,3,TRUE),I$15),"")</f>
        <v>2.1578298397040285E-3</v>
      </c>
      <c r="J25" s="243">
        <f>((1+I25)*(1+'General Data'!$M$25))-1</f>
        <v>3.159987669543618E-3</v>
      </c>
      <c r="K25" s="253">
        <f t="shared" si="11"/>
        <v>623068.98326491949</v>
      </c>
      <c r="L25" s="253">
        <f t="shared" si="1"/>
        <v>451642.68352486531</v>
      </c>
      <c r="M25" s="241">
        <f t="shared" si="2"/>
        <v>463621.83900831611</v>
      </c>
      <c r="N25" s="242">
        <f>IF($A25&lt;=$N$4,N$15*'General Data'!$S17,"")</f>
        <v>21400</v>
      </c>
      <c r="O25" s="243">
        <f>IF(A25&lt;&gt;"",IF(O$15="",VLOOKUP(A25,'DOE Fuel Esc Rates'!$T$9:$W$38,4,TRUE),O$15),"")</f>
        <v>1.6965127238454336E-2</v>
      </c>
      <c r="P25" s="243">
        <f>((1+O25)*(1+'General Data'!$M$25))-1</f>
        <v>1.7982092365692592E-2</v>
      </c>
      <c r="Q25" s="253">
        <f t="shared" si="12"/>
        <v>26002.927927927929</v>
      </c>
      <c r="R25" s="253">
        <f t="shared" si="3"/>
        <v>15923.60977878992</v>
      </c>
      <c r="S25" s="241">
        <f t="shared" si="4"/>
        <v>19348.620440669281</v>
      </c>
      <c r="T25" s="242">
        <f t="shared" si="5"/>
        <v>0</v>
      </c>
      <c r="U25" s="245">
        <f t="shared" si="6"/>
        <v>0</v>
      </c>
      <c r="V25" s="246">
        <f>IF($A25&lt;=$N$4,VLOOKUP(A25,'DOE Fuel Esc Rates'!$T$9:$W$38,2,TRUE),"")</f>
        <v>2024</v>
      </c>
      <c r="W25" s="247">
        <f t="shared" si="7"/>
        <v>649071.91119284742</v>
      </c>
      <c r="X25" s="241">
        <f t="shared" si="8"/>
        <v>482970.45944898541</v>
      </c>
      <c r="Y25" s="248">
        <f>IF(A25&lt;&gt;"",SUM(X$15:X25),"")</f>
        <v>5749707.3803373221</v>
      </c>
      <c r="Z25" s="249">
        <f>IF(A25&lt;&gt;"",LCC0!Y25-Y25,"")</f>
        <v>299255.16711509973</v>
      </c>
      <c r="AA25" s="312" t="str">
        <f>IF(A25&lt;&gt;"",IF(Z25&gt;0,IF(SUM(AA$16:AA24)=0,A24+(-Z24)/(Z25-Z24),""),""),"")</f>
        <v/>
      </c>
      <c r="AB25" s="198"/>
      <c r="AC25" s="251">
        <f t="shared" si="9"/>
        <v>649071.91119284742</v>
      </c>
      <c r="AE25" s="198"/>
    </row>
    <row r="26" spans="1:31" x14ac:dyDescent="0.2">
      <c r="A26" s="176">
        <f t="shared" si="13"/>
        <v>11</v>
      </c>
      <c r="B26" s="56"/>
      <c r="C26" s="51">
        <v>0</v>
      </c>
      <c r="D26" s="252">
        <f t="shared" si="10"/>
        <v>0</v>
      </c>
      <c r="E26" s="56"/>
      <c r="F26" s="51">
        <v>0</v>
      </c>
      <c r="G26" s="241">
        <f t="shared" si="0"/>
        <v>0</v>
      </c>
      <c r="H26" s="242">
        <f>IF($A26&lt;=$N$4,H$15*'General Data'!$S18,"")</f>
        <v>606970</v>
      </c>
      <c r="I26" s="243">
        <f>IF(A26&lt;&gt;"",IF(I$15="",VLOOKUP(A26,'DOE Fuel Esc Rates'!$T$9:$W$38,3,TRUE),I$15),"")</f>
        <v>3.9987696093510827E-3</v>
      </c>
      <c r="J26" s="243">
        <f>((1+I26)*(1+'General Data'!$M$25))-1</f>
        <v>5.0027683789604094E-3</v>
      </c>
      <c r="K26" s="253">
        <f t="shared" si="11"/>
        <v>625560.49257972848</v>
      </c>
      <c r="L26" s="253">
        <f t="shared" si="1"/>
        <v>438488.04225715075</v>
      </c>
      <c r="M26" s="241">
        <f t="shared" si="2"/>
        <v>451918.20963919803</v>
      </c>
      <c r="N26" s="242">
        <f>IF($A26&lt;=$N$4,N$15*'General Data'!$S18,"")</f>
        <v>21400</v>
      </c>
      <c r="O26" s="243">
        <f>IF(A26&lt;&gt;"",IF(O$15="",VLOOKUP(A26,'DOE Fuel Esc Rates'!$T$9:$W$38,4,TRUE),O$15),"")</f>
        <v>2.1316033364226161E-2</v>
      </c>
      <c r="P26" s="243">
        <f>((1+O26)*(1+'General Data'!$M$25))-1</f>
        <v>2.2337349397590245E-2</v>
      </c>
      <c r="Q26" s="253">
        <f t="shared" si="12"/>
        <v>26557.207207207208</v>
      </c>
      <c r="R26" s="253">
        <f t="shared" si="3"/>
        <v>15459.815319213512</v>
      </c>
      <c r="S26" s="241">
        <f t="shared" si="4"/>
        <v>19185.491533528482</v>
      </c>
      <c r="T26" s="242">
        <f t="shared" si="5"/>
        <v>0</v>
      </c>
      <c r="U26" s="245">
        <f t="shared" si="6"/>
        <v>0</v>
      </c>
      <c r="V26" s="246">
        <f>IF($A26&lt;=$N$4,VLOOKUP(A26,'DOE Fuel Esc Rates'!$T$9:$W$38,2,TRUE),"")</f>
        <v>2025</v>
      </c>
      <c r="W26" s="247">
        <f t="shared" si="7"/>
        <v>652117.6997869357</v>
      </c>
      <c r="X26" s="241">
        <f t="shared" si="8"/>
        <v>471103.70117272652</v>
      </c>
      <c r="Y26" s="248">
        <f>IF(A26&lt;&gt;"",SUM(X$15:X26),"")</f>
        <v>6220811.0815100484</v>
      </c>
      <c r="Z26" s="249">
        <f>IF(A26&lt;&gt;"",LCC0!Y26-Y26,"")</f>
        <v>339505.50984568615</v>
      </c>
      <c r="AA26" s="312" t="str">
        <f>IF(A26&lt;&gt;"",IF(Z26&gt;0,IF(SUM(AA$16:AA25)=0,A25+(-Z25)/(Z26-Z25),""),""),"")</f>
        <v/>
      </c>
      <c r="AB26" s="198"/>
      <c r="AC26" s="251">
        <f t="shared" si="9"/>
        <v>652117.6997869357</v>
      </c>
      <c r="AE26" s="198"/>
    </row>
    <row r="27" spans="1:31" x14ac:dyDescent="0.2">
      <c r="A27" s="176">
        <f t="shared" si="13"/>
        <v>12</v>
      </c>
      <c r="B27" s="56"/>
      <c r="C27" s="51">
        <v>0</v>
      </c>
      <c r="D27" s="252">
        <f t="shared" si="10"/>
        <v>0</v>
      </c>
      <c r="E27" s="56"/>
      <c r="F27" s="51">
        <v>0</v>
      </c>
      <c r="G27" s="241">
        <f t="shared" si="0"/>
        <v>0</v>
      </c>
      <c r="H27" s="242">
        <f>IF($A27&lt;=$N$4,H$15*'General Data'!$S19,"")</f>
        <v>606970</v>
      </c>
      <c r="I27" s="243">
        <f>IF(A27&lt;&gt;"",IF(I$15="",VLOOKUP(A27,'DOE Fuel Esc Rates'!$T$9:$W$38,3,TRUE),I$15),"")</f>
        <v>1.5318627450979783E-3</v>
      </c>
      <c r="J27" s="243">
        <f>((1+I27)*(1+'General Data'!$M$25))-1</f>
        <v>2.5333946078429648E-3</v>
      </c>
      <c r="K27" s="253">
        <f t="shared" si="11"/>
        <v>626518.76539311651</v>
      </c>
      <c r="L27" s="253">
        <f t="shared" si="1"/>
        <v>425716.54588072893</v>
      </c>
      <c r="M27" s="241">
        <f t="shared" si="2"/>
        <v>439427.65661007352</v>
      </c>
      <c r="N27" s="242">
        <f>IF($A27&lt;=$N$4,N$15*'General Data'!$S19,"")</f>
        <v>21400</v>
      </c>
      <c r="O27" s="243">
        <f>IF(A27&lt;&gt;"",IF(O$15="",VLOOKUP(A27,'DOE Fuel Esc Rates'!$T$9:$W$38,4,TRUE),O$15),"")</f>
        <v>5.4446460980037692E-3</v>
      </c>
      <c r="P27" s="243">
        <f>((1+O27)*(1+'General Data'!$M$25))-1</f>
        <v>6.4500907441016331E-3</v>
      </c>
      <c r="Q27" s="253">
        <f t="shared" si="12"/>
        <v>26701.801801801805</v>
      </c>
      <c r="R27" s="253">
        <f t="shared" si="3"/>
        <v>15009.529436129627</v>
      </c>
      <c r="S27" s="241">
        <f t="shared" si="4"/>
        <v>18728.106548684267</v>
      </c>
      <c r="T27" s="242">
        <f t="shared" si="5"/>
        <v>0</v>
      </c>
      <c r="U27" s="245">
        <f t="shared" si="6"/>
        <v>0</v>
      </c>
      <c r="V27" s="246">
        <f>IF($A27&lt;=$N$4,VLOOKUP(A27,'DOE Fuel Esc Rates'!$T$9:$W$38,2,TRUE),"")</f>
        <v>2026</v>
      </c>
      <c r="W27" s="247">
        <f t="shared" si="7"/>
        <v>653220.56719491829</v>
      </c>
      <c r="X27" s="241">
        <f t="shared" si="8"/>
        <v>458155.76315875776</v>
      </c>
      <c r="Y27" s="248">
        <f>IF(A27&lt;&gt;"",SUM(X$15:X27),"")</f>
        <v>6678966.8446688065</v>
      </c>
      <c r="Z27" s="249">
        <f>IF(A27&lt;&gt;"",LCC0!Y27-Y27,"")</f>
        <v>378656.72501850035</v>
      </c>
      <c r="AA27" s="312" t="str">
        <f>IF(A27&lt;&gt;"",IF(Z27&gt;0,IF(SUM(AA$16:AA26)=0,A26+(-Z26)/(Z27-Z26),""),""),"")</f>
        <v/>
      </c>
      <c r="AB27" s="198"/>
      <c r="AC27" s="251">
        <f t="shared" si="9"/>
        <v>653220.56719491829</v>
      </c>
      <c r="AE27" s="198"/>
    </row>
    <row r="28" spans="1:31" x14ac:dyDescent="0.2">
      <c r="A28" s="176">
        <f t="shared" si="13"/>
        <v>13</v>
      </c>
      <c r="B28" s="56"/>
      <c r="C28" s="51">
        <v>0</v>
      </c>
      <c r="D28" s="252">
        <f t="shared" si="10"/>
        <v>0</v>
      </c>
      <c r="E28" s="56"/>
      <c r="F28" s="51">
        <v>0</v>
      </c>
      <c r="G28" s="241">
        <f t="shared" si="0"/>
        <v>0</v>
      </c>
      <c r="H28" s="242">
        <f>IF($A28&lt;=$N$4,H$15*'General Data'!$S20,"")</f>
        <v>606970</v>
      </c>
      <c r="I28" s="243">
        <f>IF(A28&lt;&gt;"",IF(I$15="",VLOOKUP(A28,'DOE Fuel Esc Rates'!$T$9:$W$38,3,TRUE),I$15),"")</f>
        <v>-4.282655246252709E-3</v>
      </c>
      <c r="J28" s="243">
        <f>((1+I28)*(1+'General Data'!$M$25))-1</f>
        <v>-3.2869379014990319E-3</v>
      </c>
      <c r="K28" s="253">
        <f t="shared" si="11"/>
        <v>623835.60151562991</v>
      </c>
      <c r="L28" s="253">
        <f t="shared" si="1"/>
        <v>413317.0348356592</v>
      </c>
      <c r="M28" s="241">
        <f t="shared" si="2"/>
        <v>424801.68878751836</v>
      </c>
      <c r="N28" s="242">
        <f>IF($A28&lt;=$N$4,N$15*'General Data'!$S20,"")</f>
        <v>21400</v>
      </c>
      <c r="O28" s="243">
        <f>IF(A28&lt;&gt;"",IF(O$15="",VLOOKUP(A28,'DOE Fuel Esc Rates'!$T$9:$W$38,4,TRUE),O$15),"")</f>
        <v>-7.2202166064981865E-3</v>
      </c>
      <c r="P28" s="243">
        <f>((1+O28)*(1+'General Data'!$M$25))-1</f>
        <v>-6.2274368231047816E-3</v>
      </c>
      <c r="Q28" s="253">
        <f t="shared" si="12"/>
        <v>26509.009009009013</v>
      </c>
      <c r="R28" s="253">
        <f t="shared" si="3"/>
        <v>14572.358675854008</v>
      </c>
      <c r="S28" s="241">
        <f t="shared" si="4"/>
        <v>18051.345206575912</v>
      </c>
      <c r="T28" s="242">
        <f t="shared" si="5"/>
        <v>0</v>
      </c>
      <c r="U28" s="245">
        <f t="shared" si="6"/>
        <v>0</v>
      </c>
      <c r="V28" s="246">
        <f>IF($A28&lt;=$N$4,VLOOKUP(A28,'DOE Fuel Esc Rates'!$T$9:$W$38,2,TRUE),"")</f>
        <v>2027</v>
      </c>
      <c r="W28" s="247">
        <f t="shared" si="7"/>
        <v>650344.61052463891</v>
      </c>
      <c r="X28" s="241">
        <f t="shared" si="8"/>
        <v>442853.03399409429</v>
      </c>
      <c r="Y28" s="248">
        <f>IF(A28&lt;&gt;"",SUM(X$15:X28),"")</f>
        <v>7121819.878662901</v>
      </c>
      <c r="Z28" s="249">
        <f>IF(A28&lt;&gt;"",LCC0!Y28-Y28,"")</f>
        <v>416495.04201721214</v>
      </c>
      <c r="AA28" s="312" t="str">
        <f>IF(A28&lt;&gt;"",IF(Z28&gt;0,IF(SUM(AA$16:AA27)=0,A27+(-Z27)/(Z28-Z27),""),""),"")</f>
        <v/>
      </c>
      <c r="AB28" s="198"/>
      <c r="AC28" s="251">
        <f t="shared" si="9"/>
        <v>650344.61052463891</v>
      </c>
      <c r="AE28" s="198"/>
    </row>
    <row r="29" spans="1:31" x14ac:dyDescent="0.2">
      <c r="A29" s="176">
        <f t="shared" si="13"/>
        <v>14</v>
      </c>
      <c r="B29" s="56"/>
      <c r="C29" s="51">
        <v>0</v>
      </c>
      <c r="D29" s="252">
        <f t="shared" si="10"/>
        <v>0</v>
      </c>
      <c r="E29" s="56"/>
      <c r="F29" s="51">
        <v>0</v>
      </c>
      <c r="G29" s="241">
        <f t="shared" si="0"/>
        <v>0</v>
      </c>
      <c r="H29" s="242">
        <f>IF($A29&lt;=$N$4,H$15*'General Data'!$S21,"")</f>
        <v>606970</v>
      </c>
      <c r="I29" s="243">
        <f>IF(A29&lt;&gt;"",IF(I$15="",VLOOKUP(A29,'DOE Fuel Esc Rates'!$T$9:$W$38,3,TRUE),I$15),"")</f>
        <v>-7.0660522273424675E-3</v>
      </c>
      <c r="J29" s="243">
        <f>((1+I29)*(1+'General Data'!$M$25))-1</f>
        <v>-6.0731182795699112E-3</v>
      </c>
      <c r="K29" s="253">
        <f t="shared" si="11"/>
        <v>619427.54657404486</v>
      </c>
      <c r="L29" s="253">
        <f t="shared" si="1"/>
        <v>401278.67459772731</v>
      </c>
      <c r="M29" s="241">
        <f t="shared" si="2"/>
        <v>409514.58045464312</v>
      </c>
      <c r="N29" s="242">
        <f>IF($A29&lt;=$N$4,N$15*'General Data'!$S21,"")</f>
        <v>21400</v>
      </c>
      <c r="O29" s="243">
        <f>IF(A29&lt;&gt;"",IF(O$15="",VLOOKUP(A29,'DOE Fuel Esc Rates'!$T$9:$W$38,4,TRUE),O$15),"")</f>
        <v>-4.5454545454546302E-3</v>
      </c>
      <c r="P29" s="243">
        <f>((1+O29)*(1+'General Data'!$M$25))-1</f>
        <v>-3.5500000000001641E-3</v>
      </c>
      <c r="Q29" s="253">
        <f t="shared" si="12"/>
        <v>26388.513513513513</v>
      </c>
      <c r="R29" s="253">
        <f t="shared" si="3"/>
        <v>14147.921044518453</v>
      </c>
      <c r="S29" s="241">
        <f t="shared" si="4"/>
        <v>17445.916152869038</v>
      </c>
      <c r="T29" s="242">
        <f t="shared" si="5"/>
        <v>0</v>
      </c>
      <c r="U29" s="245">
        <f t="shared" si="6"/>
        <v>0</v>
      </c>
      <c r="V29" s="246">
        <f>IF($A29&lt;=$N$4,VLOOKUP(A29,'DOE Fuel Esc Rates'!$T$9:$W$38,2,TRUE),"")</f>
        <v>2028</v>
      </c>
      <c r="W29" s="247">
        <f t="shared" si="7"/>
        <v>645816.06008755835</v>
      </c>
      <c r="X29" s="241">
        <f t="shared" si="8"/>
        <v>426960.49660751218</v>
      </c>
      <c r="Y29" s="248">
        <f>IF(A29&lt;&gt;"",SUM(X$15:X29),"")</f>
        <v>7548780.3752704132</v>
      </c>
      <c r="Z29" s="249">
        <f>IF(A29&lt;&gt;"",LCC0!Y29-Y29,"")</f>
        <v>452979.78384906705</v>
      </c>
      <c r="AA29" s="312" t="str">
        <f>IF(A29&lt;&gt;"",IF(Z29&gt;0,IF(SUM(AA$16:AA28)=0,A28+(-Z28)/(Z29-Z28),""),""),"")</f>
        <v/>
      </c>
      <c r="AB29" s="198"/>
      <c r="AC29" s="251">
        <f t="shared" si="9"/>
        <v>645816.06008755835</v>
      </c>
      <c r="AE29" s="198"/>
    </row>
    <row r="30" spans="1:31" x14ac:dyDescent="0.2">
      <c r="A30" s="176">
        <f t="shared" si="13"/>
        <v>15</v>
      </c>
      <c r="B30" s="56" t="s">
        <v>51</v>
      </c>
      <c r="C30" s="51">
        <v>0</v>
      </c>
      <c r="D30" s="252">
        <f t="shared" si="10"/>
        <v>0</v>
      </c>
      <c r="E30" s="56"/>
      <c r="F30" s="51">
        <v>0</v>
      </c>
      <c r="G30" s="241">
        <f t="shared" si="0"/>
        <v>0</v>
      </c>
      <c r="H30" s="242">
        <f>IF($A30&lt;=$N$4,H$15*'General Data'!$S22,"")</f>
        <v>606970</v>
      </c>
      <c r="I30" s="243">
        <f>IF(A30&lt;&gt;"",IF(I$15="",VLOOKUP(A30,'DOE Fuel Esc Rates'!$T$9:$W$38,3,TRUE),I$15),"")</f>
        <v>-2.7846534653466204E-3</v>
      </c>
      <c r="J30" s="243">
        <f>((1+I30)*(1+'General Data'!$M$25))-1</f>
        <v>-1.7874381188121014E-3</v>
      </c>
      <c r="K30" s="253">
        <f t="shared" si="11"/>
        <v>617702.65550994629</v>
      </c>
      <c r="L30" s="253">
        <f t="shared" si="1"/>
        <v>389590.94621138572</v>
      </c>
      <c r="M30" s="241">
        <f t="shared" si="2"/>
        <v>396479.82937773794</v>
      </c>
      <c r="N30" s="242">
        <f>IF($A30&lt;=$N$4,N$15*'General Data'!$S22,"")</f>
        <v>21400</v>
      </c>
      <c r="O30" s="243">
        <f>IF(A30&lt;&gt;"",IF(O$15="",VLOOKUP(A30,'DOE Fuel Esc Rates'!$T$9:$W$38,4,TRUE),O$15),"")</f>
        <v>2.73972602739736E-3</v>
      </c>
      <c r="P30" s="243">
        <f>((1+O30)*(1+'General Data'!$M$25))-1</f>
        <v>3.7424657534246286E-3</v>
      </c>
      <c r="Q30" s="253">
        <f t="shared" si="12"/>
        <v>26460.810810810814</v>
      </c>
      <c r="R30" s="253">
        <f t="shared" si="3"/>
        <v>13735.845674289758</v>
      </c>
      <c r="S30" s="241">
        <f t="shared" si="4"/>
        <v>16984.187556723147</v>
      </c>
      <c r="T30" s="242">
        <f t="shared" si="5"/>
        <v>0</v>
      </c>
      <c r="U30" s="245">
        <f t="shared" si="6"/>
        <v>0</v>
      </c>
      <c r="V30" s="246">
        <f>IF($A30&lt;=$N$4,VLOOKUP(A30,'DOE Fuel Esc Rates'!$T$9:$W$38,2,TRUE),"")</f>
        <v>2029</v>
      </c>
      <c r="W30" s="247">
        <f t="shared" si="7"/>
        <v>644163.46632075706</v>
      </c>
      <c r="X30" s="241">
        <f t="shared" si="8"/>
        <v>413464.01693446108</v>
      </c>
      <c r="Y30" s="248">
        <f>IF(A30&lt;&gt;"",SUM(X$15:X30),"")</f>
        <v>7962244.3922048742</v>
      </c>
      <c r="Z30" s="249">
        <f>IF(A30&lt;&gt;"",LCC0!Y30-Y30,"")</f>
        <v>488320.36514183227</v>
      </c>
      <c r="AA30" s="312" t="str">
        <f>IF(A30&lt;&gt;"",IF(Z30&gt;0,IF(SUM(AA$16:AA29)=0,A29+(-Z29)/(Z30-Z29),""),""),"")</f>
        <v/>
      </c>
      <c r="AB30" s="198"/>
      <c r="AC30" s="251">
        <f t="shared" si="9"/>
        <v>644163.46632075706</v>
      </c>
      <c r="AE30" s="198"/>
    </row>
    <row r="31" spans="1:31" x14ac:dyDescent="0.2">
      <c r="A31" s="176">
        <f t="shared" si="13"/>
        <v>16</v>
      </c>
      <c r="B31" s="56"/>
      <c r="C31" s="51">
        <v>0</v>
      </c>
      <c r="D31" s="252">
        <f t="shared" si="10"/>
        <v>0</v>
      </c>
      <c r="E31" s="56"/>
      <c r="F31" s="51">
        <v>0</v>
      </c>
      <c r="G31" s="241">
        <f t="shared" si="0"/>
        <v>0</v>
      </c>
      <c r="H31" s="242">
        <f>IF($A31&lt;=$N$4,H$15*'General Data'!$S23,"")</f>
        <v>606970</v>
      </c>
      <c r="I31" s="243">
        <f>IF(A31&lt;&gt;"",IF(I$15="",VLOOKUP(A31,'DOE Fuel Esc Rates'!$T$9:$W$38,3,TRUE),I$15),"")</f>
        <v>-1.2410797393732631E-3</v>
      </c>
      <c r="J31" s="243">
        <f>((1+I31)*(1+'General Data'!$M$25))-1</f>
        <v>-2.4232081911279568E-4</v>
      </c>
      <c r="K31" s="253">
        <f t="shared" si="11"/>
        <v>616936.03725923586</v>
      </c>
      <c r="L31" s="253">
        <f t="shared" si="1"/>
        <v>378243.63709843281</v>
      </c>
      <c r="M31" s="241">
        <f t="shared" si="2"/>
        <v>384454.14203342446</v>
      </c>
      <c r="N31" s="242">
        <f>IF($A31&lt;=$N$4,N$15*'General Data'!$S23,"")</f>
        <v>21400</v>
      </c>
      <c r="O31" s="243">
        <f>IF(A31&lt;&gt;"",IF(O$15="",VLOOKUP(A31,'DOE Fuel Esc Rates'!$T$9:$W$38,4,TRUE),O$15),"")</f>
        <v>8.1967213114753079E-3</v>
      </c>
      <c r="P31" s="243">
        <f>((1+O31)*(1+'General Data'!$M$25))-1</f>
        <v>9.2049180327866686E-3</v>
      </c>
      <c r="Q31" s="253">
        <f t="shared" si="12"/>
        <v>26677.702702702703</v>
      </c>
      <c r="R31" s="253">
        <f t="shared" si="3"/>
        <v>13335.772499310448</v>
      </c>
      <c r="S31" s="241">
        <f t="shared" si="4"/>
        <v>16624.662338667415</v>
      </c>
      <c r="T31" s="242">
        <f t="shared" si="5"/>
        <v>0</v>
      </c>
      <c r="U31" s="245">
        <f t="shared" si="6"/>
        <v>0</v>
      </c>
      <c r="V31" s="246">
        <f>IF($A31&lt;=$N$4,VLOOKUP(A31,'DOE Fuel Esc Rates'!$T$9:$W$38,2,TRUE),"")</f>
        <v>2030</v>
      </c>
      <c r="W31" s="247">
        <f t="shared" si="7"/>
        <v>643613.73996193858</v>
      </c>
      <c r="X31" s="241">
        <f t="shared" si="8"/>
        <v>401078.80437209189</v>
      </c>
      <c r="Y31" s="248">
        <f>IF(A31&lt;&gt;"",SUM(X$15:X31),"")</f>
        <v>8363323.196576966</v>
      </c>
      <c r="Z31" s="249">
        <f>IF(A31&lt;&gt;"",LCC0!Y31-Y31,"")</f>
        <v>522617.53306976892</v>
      </c>
      <c r="AA31" s="312" t="str">
        <f>IF(A31&lt;&gt;"",IF(Z31&gt;0,IF(SUM(AA$16:AA30)=0,A30+(-Z30)/(Z31-Z30),""),""),"")</f>
        <v/>
      </c>
      <c r="AB31" s="198"/>
      <c r="AC31" s="251">
        <f t="shared" si="9"/>
        <v>643613.73996193858</v>
      </c>
      <c r="AE31" s="198"/>
    </row>
    <row r="32" spans="1:31" x14ac:dyDescent="0.2">
      <c r="A32" s="176">
        <f t="shared" si="13"/>
        <v>17</v>
      </c>
      <c r="B32" s="56"/>
      <c r="C32" s="51">
        <v>0</v>
      </c>
      <c r="D32" s="252">
        <f t="shared" si="10"/>
        <v>0</v>
      </c>
      <c r="E32" s="56"/>
      <c r="F32" s="51">
        <v>0</v>
      </c>
      <c r="G32" s="241">
        <f t="shared" si="0"/>
        <v>0</v>
      </c>
      <c r="H32" s="242">
        <f>IF($A32&lt;=$N$4,H$15*'General Data'!$S24,"")</f>
        <v>606970</v>
      </c>
      <c r="I32" s="243">
        <f>IF(A32&lt;&gt;"",IF(I$15="",VLOOKUP(A32,'DOE Fuel Esc Rates'!$T$9:$W$38,3,TRUE),I$15),"")</f>
        <v>0</v>
      </c>
      <c r="J32" s="243">
        <f>((1+I32)*(1+'General Data'!$M$25))-1</f>
        <v>9.9999999999988987E-4</v>
      </c>
      <c r="K32" s="253">
        <f t="shared" si="11"/>
        <v>616936.03725923586</v>
      </c>
      <c r="L32" s="253">
        <f t="shared" si="1"/>
        <v>367226.83213440079</v>
      </c>
      <c r="M32" s="241">
        <f t="shared" si="2"/>
        <v>373256.44857614022</v>
      </c>
      <c r="N32" s="242">
        <f>IF($A32&lt;=$N$4,N$15*'General Data'!$S24,"")</f>
        <v>21400</v>
      </c>
      <c r="O32" s="243">
        <f>IF(A32&lt;&gt;"",IF(O$15="",VLOOKUP(A32,'DOE Fuel Esc Rates'!$T$9:$W$38,4,TRUE),O$15),"")</f>
        <v>1.6260162601625883E-2</v>
      </c>
      <c r="P32" s="243">
        <f>((1+O32)*(1+'General Data'!$M$25))-1</f>
        <v>1.7276422764227473E-2</v>
      </c>
      <c r="Q32" s="253">
        <f t="shared" si="12"/>
        <v>27111.486486486483</v>
      </c>
      <c r="R32" s="253">
        <f t="shared" si="3"/>
        <v>12947.351941078105</v>
      </c>
      <c r="S32" s="241">
        <f t="shared" si="4"/>
        <v>16402.895195622597</v>
      </c>
      <c r="T32" s="242">
        <f t="shared" si="5"/>
        <v>0</v>
      </c>
      <c r="U32" s="245">
        <f t="shared" si="6"/>
        <v>0</v>
      </c>
      <c r="V32" s="246">
        <f>IF($A32&lt;=$N$4,VLOOKUP(A32,'DOE Fuel Esc Rates'!$T$9:$W$38,2,TRUE),"")</f>
        <v>2031</v>
      </c>
      <c r="W32" s="247">
        <f t="shared" si="7"/>
        <v>644047.52374572237</v>
      </c>
      <c r="X32" s="241">
        <f t="shared" si="8"/>
        <v>389659.3437717628</v>
      </c>
      <c r="Y32" s="248">
        <f>IF(A32&lt;&gt;"",SUM(X$15:X32),"")</f>
        <v>8752982.5403487291</v>
      </c>
      <c r="Z32" s="249">
        <f>IF(A32&lt;&gt;"",LCC0!Y32-Y32,"")</f>
        <v>555963.828638779</v>
      </c>
      <c r="AA32" s="312" t="str">
        <f>IF(A32&lt;&gt;"",IF(Z32&gt;0,IF(SUM(AA$16:AA31)=0,A31+(-Z31)/(Z32-Z31),""),""),"")</f>
        <v/>
      </c>
      <c r="AB32" s="198"/>
      <c r="AC32" s="251">
        <f t="shared" si="9"/>
        <v>644047.52374572237</v>
      </c>
      <c r="AE32" s="198"/>
    </row>
    <row r="33" spans="1:31" x14ac:dyDescent="0.2">
      <c r="A33" s="176">
        <f t="shared" si="13"/>
        <v>18</v>
      </c>
      <c r="B33" s="56"/>
      <c r="C33" s="51">
        <v>0</v>
      </c>
      <c r="D33" s="252">
        <f t="shared" si="10"/>
        <v>0</v>
      </c>
      <c r="E33" s="56"/>
      <c r="F33" s="51">
        <v>0</v>
      </c>
      <c r="G33" s="241">
        <f t="shared" si="0"/>
        <v>0</v>
      </c>
      <c r="H33" s="242">
        <f>IF($A33&lt;=$N$4,H$15*'General Data'!$S25,"")</f>
        <v>606970</v>
      </c>
      <c r="I33" s="243">
        <f>IF(A33&lt;&gt;"",IF(I$15="",VLOOKUP(A33,'DOE Fuel Esc Rates'!$T$9:$W$38,3,TRUE),I$15),"")</f>
        <v>2.1745883814849876E-3</v>
      </c>
      <c r="J33" s="243">
        <f>((1+I33)*(1+'General Data'!$M$25))-1</f>
        <v>3.1767629698664646E-3</v>
      </c>
      <c r="K33" s="253">
        <f t="shared" si="11"/>
        <v>618277.61919797922</v>
      </c>
      <c r="L33" s="253">
        <f t="shared" si="1"/>
        <v>356530.90498485515</v>
      </c>
      <c r="M33" s="241">
        <f t="shared" si="2"/>
        <v>363172.93952672649</v>
      </c>
      <c r="N33" s="242">
        <f>IF($A33&lt;=$N$4,N$15*'General Data'!$S25,"")</f>
        <v>21400</v>
      </c>
      <c r="O33" s="243">
        <f>IF(A33&lt;&gt;"",IF(O$15="",VLOOKUP(A33,'DOE Fuel Esc Rates'!$T$9:$W$38,4,TRUE),O$15),"")</f>
        <v>1.3333333333333419E-2</v>
      </c>
      <c r="P33" s="243">
        <f>((1+O33)*(1+'General Data'!$M$25))-1</f>
        <v>1.434666666666673E-2</v>
      </c>
      <c r="Q33" s="253">
        <f t="shared" si="12"/>
        <v>27472.972972972973</v>
      </c>
      <c r="R33" s="253">
        <f t="shared" si="3"/>
        <v>12570.24460298845</v>
      </c>
      <c r="S33" s="241">
        <f t="shared" si="4"/>
        <v>16137.476179512199</v>
      </c>
      <c r="T33" s="242">
        <f t="shared" si="5"/>
        <v>0</v>
      </c>
      <c r="U33" s="245">
        <f t="shared" si="6"/>
        <v>0</v>
      </c>
      <c r="V33" s="246">
        <f>IF($A33&lt;=$N$4,VLOOKUP(A33,'DOE Fuel Esc Rates'!$T$9:$W$38,2,TRUE),"")</f>
        <v>2032</v>
      </c>
      <c r="W33" s="247">
        <f t="shared" si="7"/>
        <v>645750.59217095224</v>
      </c>
      <c r="X33" s="241">
        <f t="shared" si="8"/>
        <v>379310.41570623871</v>
      </c>
      <c r="Y33" s="248">
        <f>IF(A33&lt;&gt;"",SUM(X$15:X33),"")</f>
        <v>9132292.9560549669</v>
      </c>
      <c r="Z33" s="249">
        <f>IF(A33&lt;&gt;"",LCC0!Y33-Y33,"")</f>
        <v>588441.82676992193</v>
      </c>
      <c r="AA33" s="312" t="str">
        <f>IF(A33&lt;&gt;"",IF(Z33&gt;0,IF(SUM(AA$16:AA32)=0,A32+(-Z32)/(Z33-Z32),""),""),"")</f>
        <v/>
      </c>
      <c r="AB33" s="198"/>
      <c r="AC33" s="251">
        <f t="shared" si="9"/>
        <v>645750.59217095224</v>
      </c>
      <c r="AE33" s="198"/>
    </row>
    <row r="34" spans="1:31" x14ac:dyDescent="0.2">
      <c r="A34" s="176">
        <f t="shared" si="13"/>
        <v>19</v>
      </c>
      <c r="B34" s="56"/>
      <c r="C34" s="51">
        <v>0</v>
      </c>
      <c r="D34" s="252">
        <f t="shared" si="10"/>
        <v>0</v>
      </c>
      <c r="E34" s="56"/>
      <c r="F34" s="51">
        <v>0</v>
      </c>
      <c r="G34" s="241">
        <f t="shared" si="0"/>
        <v>0</v>
      </c>
      <c r="H34" s="242">
        <f>IF($A34&lt;=$N$4,H$15*'General Data'!$S26,"")</f>
        <v>606970</v>
      </c>
      <c r="I34" s="243">
        <f>IF(A34&lt;&gt;"",IF(I$15="",VLOOKUP(A34,'DOE Fuel Esc Rates'!$T$9:$W$38,3,TRUE),I$15),"")</f>
        <v>1.2399256044637319E-3</v>
      </c>
      <c r="J34" s="243">
        <f>((1+I34)*(1+'General Data'!$M$25))-1</f>
        <v>2.2411655300680344E-3</v>
      </c>
      <c r="K34" s="253">
        <f t="shared" si="11"/>
        <v>619044.23744868964</v>
      </c>
      <c r="L34" s="253">
        <f t="shared" si="1"/>
        <v>346146.50969403412</v>
      </c>
      <c r="M34" s="241">
        <f t="shared" si="2"/>
        <v>353032.27859543107</v>
      </c>
      <c r="N34" s="242">
        <f>IF($A34&lt;=$N$4,N$15*'General Data'!$S26,"")</f>
        <v>21400</v>
      </c>
      <c r="O34" s="243">
        <f>IF(A34&lt;&gt;"",IF(O$15="",VLOOKUP(A34,'DOE Fuel Esc Rates'!$T$9:$W$38,4,TRUE),O$15),"")</f>
        <v>1.2280701754385781E-2</v>
      </c>
      <c r="P34" s="243">
        <f>((1+O34)*(1+'General Data'!$M$25))-1</f>
        <v>1.3292982456140079E-2</v>
      </c>
      <c r="Q34" s="253">
        <f t="shared" si="12"/>
        <v>27810.360360360355</v>
      </c>
      <c r="R34" s="253">
        <f t="shared" si="3"/>
        <v>12204.120973775194</v>
      </c>
      <c r="S34" s="241">
        <f t="shared" si="4"/>
        <v>15859.859914117762</v>
      </c>
      <c r="T34" s="242">
        <f t="shared" si="5"/>
        <v>0</v>
      </c>
      <c r="U34" s="245">
        <f t="shared" si="6"/>
        <v>0</v>
      </c>
      <c r="V34" s="246">
        <f>IF($A34&lt;=$N$4,VLOOKUP(A34,'DOE Fuel Esc Rates'!$T$9:$W$38,2,TRUE),"")</f>
        <v>2033</v>
      </c>
      <c r="W34" s="247">
        <f t="shared" si="7"/>
        <v>646854.59780905</v>
      </c>
      <c r="X34" s="241">
        <f t="shared" si="8"/>
        <v>368892.13850954885</v>
      </c>
      <c r="Y34" s="248">
        <f>IF(A34&lt;&gt;"",SUM(X$15:X34),"")</f>
        <v>9501185.0945645161</v>
      </c>
      <c r="Z34" s="249">
        <f>IF(A34&lt;&gt;"",LCC0!Y34-Y34,"")</f>
        <v>620044.64737990685</v>
      </c>
      <c r="AA34" s="312" t="str">
        <f>IF(A34&lt;&gt;"",IF(Z34&gt;0,IF(SUM(AA$16:AA33)=0,A33+(-Z33)/(Z34-Z33),""),""),"")</f>
        <v/>
      </c>
      <c r="AB34" s="198"/>
      <c r="AC34" s="251">
        <f t="shared" si="9"/>
        <v>646854.59780905</v>
      </c>
      <c r="AE34" s="198"/>
    </row>
    <row r="35" spans="1:31" x14ac:dyDescent="0.2">
      <c r="A35" s="176">
        <f t="shared" si="13"/>
        <v>20</v>
      </c>
      <c r="B35" s="56"/>
      <c r="C35" s="51">
        <v>0</v>
      </c>
      <c r="D35" s="252">
        <f t="shared" si="10"/>
        <v>0</v>
      </c>
      <c r="E35" s="56" t="s">
        <v>50</v>
      </c>
      <c r="F35" s="51">
        <v>0</v>
      </c>
      <c r="G35" s="241">
        <f t="shared" si="0"/>
        <v>0</v>
      </c>
      <c r="H35" s="242">
        <f>IF($A35&lt;=$N$4,H$15*'General Data'!$S27,"")</f>
        <v>606970</v>
      </c>
      <c r="I35" s="243">
        <f>IF(A35&lt;&gt;"",IF(I$15="",VLOOKUP(A35,'DOE Fuel Esc Rates'!$T$9:$W$38,3,TRUE),I$15),"")</f>
        <v>2.1671826625386803E-3</v>
      </c>
      <c r="J35" s="243">
        <f>((1+I35)*(1+'General Data'!$M$25))-1</f>
        <v>3.1693498452010083E-3</v>
      </c>
      <c r="K35" s="253">
        <f t="shared" si="11"/>
        <v>620385.81938743289</v>
      </c>
      <c r="L35" s="253">
        <f t="shared" si="1"/>
        <v>336064.57251847972</v>
      </c>
      <c r="M35" s="241">
        <f t="shared" si="2"/>
        <v>343492.58643584431</v>
      </c>
      <c r="N35" s="242">
        <f>IF($A35&lt;=$N$4,N$15*'General Data'!$S27,"")</f>
        <v>21400</v>
      </c>
      <c r="O35" s="243">
        <f>IF(A35&lt;&gt;"",IF(O$15="",VLOOKUP(A35,'DOE Fuel Esc Rates'!$T$9:$W$38,4,TRUE),O$15),"")</f>
        <v>1.7331022530329365E-2</v>
      </c>
      <c r="P35" s="243">
        <f>((1+O35)*(1+'General Data'!$M$25))-1</f>
        <v>1.8348353552859686E-2</v>
      </c>
      <c r="Q35" s="253">
        <f t="shared" si="12"/>
        <v>28292.342342342337</v>
      </c>
      <c r="R35" s="253">
        <f t="shared" si="3"/>
        <v>11848.661139587568</v>
      </c>
      <c r="S35" s="241">
        <f t="shared" si="4"/>
        <v>15664.783984094372</v>
      </c>
      <c r="T35" s="242">
        <f t="shared" si="5"/>
        <v>0</v>
      </c>
      <c r="U35" s="245">
        <f t="shared" si="6"/>
        <v>0</v>
      </c>
      <c r="V35" s="246">
        <f>IF($A35&lt;=$N$4,VLOOKUP(A35,'DOE Fuel Esc Rates'!$T$9:$W$38,2,TRUE),"")</f>
        <v>2034</v>
      </c>
      <c r="W35" s="247">
        <f t="shared" si="7"/>
        <v>648678.16172977525</v>
      </c>
      <c r="X35" s="241">
        <f t="shared" si="8"/>
        <v>359157.3704199387</v>
      </c>
      <c r="Y35" s="248">
        <f>IF(A35&lt;&gt;"",SUM(X$15:X35),"")</f>
        <v>9860342.4649844542</v>
      </c>
      <c r="Z35" s="249">
        <f>IF(A35&lt;&gt;"",LCC0!Y35-Y35,"")</f>
        <v>650836.26217280328</v>
      </c>
      <c r="AA35" s="312" t="str">
        <f>IF(A35&lt;&gt;"",IF(Z35&gt;0,IF(SUM(AA$16:AA34)=0,A34+(-Z34)/(Z35-Z34),""),""),"")</f>
        <v/>
      </c>
      <c r="AB35" s="198"/>
      <c r="AC35" s="251">
        <f t="shared" si="9"/>
        <v>648678.16172977525</v>
      </c>
      <c r="AE35" s="198"/>
    </row>
    <row r="36" spans="1:31" x14ac:dyDescent="0.2">
      <c r="A36" s="176">
        <f t="shared" si="13"/>
        <v>21</v>
      </c>
      <c r="B36" s="56"/>
      <c r="C36" s="51">
        <v>0</v>
      </c>
      <c r="D36" s="252">
        <f t="shared" si="10"/>
        <v>0</v>
      </c>
      <c r="E36" s="56"/>
      <c r="F36" s="51">
        <v>0</v>
      </c>
      <c r="G36" s="241">
        <f t="shared" si="0"/>
        <v>0</v>
      </c>
      <c r="H36" s="242">
        <f>IF($A36&lt;=$N$4,H$15*'General Data'!$S28,"")</f>
        <v>606970</v>
      </c>
      <c r="I36" s="243">
        <f>IF(A36&lt;&gt;"",IF(I$15="",VLOOKUP(A36,'DOE Fuel Esc Rates'!$T$9:$W$38,3,TRUE),I$15),"")</f>
        <v>2.780352177942591E-3</v>
      </c>
      <c r="J36" s="243">
        <f>((1+I36)*(1+'General Data'!$M$25))-1</f>
        <v>3.7831325301205254E-3</v>
      </c>
      <c r="K36" s="253">
        <f t="shared" si="11"/>
        <v>622110.71045153146</v>
      </c>
      <c r="L36" s="253">
        <f t="shared" si="1"/>
        <v>326276.28399852407</v>
      </c>
      <c r="M36" s="241">
        <f t="shared" si="2"/>
        <v>334415.16193849355</v>
      </c>
      <c r="N36" s="242">
        <f>IF($A36&lt;=$N$4,N$15*'General Data'!$S28,"")</f>
        <v>21400</v>
      </c>
      <c r="O36" s="243">
        <f>IF(A36&lt;&gt;"",IF(O$15="",VLOOKUP(A36,'DOE Fuel Esc Rates'!$T$9:$W$38,4,TRUE),O$15),"")</f>
        <v>1.7035775127768327E-2</v>
      </c>
      <c r="P36" s="243">
        <f>((1+O36)*(1+'General Data'!$M$25))-1</f>
        <v>1.8052810902895899E-2</v>
      </c>
      <c r="Q36" s="253">
        <f t="shared" si="12"/>
        <v>28774.32432432432</v>
      </c>
      <c r="R36" s="253">
        <f t="shared" si="3"/>
        <v>11503.55450445395</v>
      </c>
      <c r="S36" s="241">
        <f t="shared" si="4"/>
        <v>15467.617205313081</v>
      </c>
      <c r="T36" s="242">
        <f t="shared" si="5"/>
        <v>0</v>
      </c>
      <c r="U36" s="245">
        <f t="shared" si="6"/>
        <v>0</v>
      </c>
      <c r="V36" s="246">
        <f>IF($A36&lt;=$N$4,VLOOKUP(A36,'DOE Fuel Esc Rates'!$T$9:$W$38,2,TRUE),"")</f>
        <v>2035</v>
      </c>
      <c r="W36" s="247">
        <f t="shared" si="7"/>
        <v>650885.03477585572</v>
      </c>
      <c r="X36" s="241">
        <f t="shared" si="8"/>
        <v>349882.77914380661</v>
      </c>
      <c r="Y36" s="248">
        <f>IF(A36&lt;&gt;"",SUM(X$15:X36),"")</f>
        <v>10210225.244128261</v>
      </c>
      <c r="Z36" s="249">
        <f>IF(A36&lt;&gt;"",LCC0!Y36-Y36,"")</f>
        <v>680853.86543994397</v>
      </c>
      <c r="AA36" s="312" t="str">
        <f>IF(A36&lt;&gt;"",IF(Z36&gt;0,IF(SUM(AA$16:AA35)=0,A35+(-Z35)/(Z36-Z35),""),""),"")</f>
        <v/>
      </c>
      <c r="AB36" s="198"/>
      <c r="AC36" s="251">
        <f t="shared" si="9"/>
        <v>650885.03477585572</v>
      </c>
      <c r="AE36" s="198"/>
    </row>
    <row r="37" spans="1:31" x14ac:dyDescent="0.2">
      <c r="A37" s="176">
        <f t="shared" si="13"/>
        <v>22</v>
      </c>
      <c r="B37" s="56"/>
      <c r="C37" s="51">
        <v>0</v>
      </c>
      <c r="D37" s="252">
        <f t="shared" si="10"/>
        <v>0</v>
      </c>
      <c r="E37" s="56"/>
      <c r="F37" s="51">
        <v>0</v>
      </c>
      <c r="G37" s="241">
        <f t="shared" si="0"/>
        <v>0</v>
      </c>
      <c r="H37" s="242">
        <f>IF($A37&lt;=$N$4,H$15*'General Data'!$S29,"")</f>
        <v>606970</v>
      </c>
      <c r="I37" s="243">
        <f>IF(A37&lt;&gt;"",IF(I$15="",VLOOKUP(A37,'DOE Fuel Esc Rates'!$T$9:$W$38,3,TRUE),I$15),"")</f>
        <v>4.6210720887245316E-3</v>
      </c>
      <c r="J37" s="243">
        <f>((1+I37)*(1+'General Data'!$M$25))-1</f>
        <v>5.6256931608131833E-3</v>
      </c>
      <c r="K37" s="253">
        <f t="shared" si="11"/>
        <v>624985.52889169566</v>
      </c>
      <c r="L37" s="253">
        <f t="shared" si="1"/>
        <v>316773.09126070293</v>
      </c>
      <c r="M37" s="241">
        <f t="shared" si="2"/>
        <v>326175.26068871247</v>
      </c>
      <c r="N37" s="242">
        <f>IF($A37&lt;=$N$4,N$15*'General Data'!$S29,"")</f>
        <v>21400</v>
      </c>
      <c r="O37" s="243">
        <f>IF(A37&lt;&gt;"",IF(O$15="",VLOOKUP(A37,'DOE Fuel Esc Rates'!$T$9:$W$38,4,TRUE),O$15),"")</f>
        <v>1.0050251256281451E-2</v>
      </c>
      <c r="P37" s="243">
        <f>((1+O37)*(1+'General Data'!$M$25))-1</f>
        <v>1.1060301507537673E-2</v>
      </c>
      <c r="Q37" s="253">
        <f t="shared" si="12"/>
        <v>29063.51351351351</v>
      </c>
      <c r="R37" s="253">
        <f t="shared" si="3"/>
        <v>11168.499518887331</v>
      </c>
      <c r="S37" s="241">
        <f t="shared" si="4"/>
        <v>15168.029752002385</v>
      </c>
      <c r="T37" s="242">
        <f t="shared" si="5"/>
        <v>0</v>
      </c>
      <c r="U37" s="245">
        <f t="shared" si="6"/>
        <v>0</v>
      </c>
      <c r="V37" s="246">
        <f>IF($A37&lt;=$N$4,VLOOKUP(A37,'DOE Fuel Esc Rates'!$T$9:$W$38,2,TRUE),"")</f>
        <v>2036</v>
      </c>
      <c r="W37" s="247">
        <f t="shared" si="7"/>
        <v>654049.04240520915</v>
      </c>
      <c r="X37" s="241">
        <f t="shared" si="8"/>
        <v>341343.29044071486</v>
      </c>
      <c r="Y37" s="248">
        <f>IF(A37&lt;&gt;"",SUM(X$15:X37),"")</f>
        <v>10551568.534568975</v>
      </c>
      <c r="Z37" s="249">
        <f>IF(A37&lt;&gt;"",LCC0!Y37-Y37,"")</f>
        <v>710146.77745993622</v>
      </c>
      <c r="AA37" s="312" t="str">
        <f>IF(A37&lt;&gt;"",IF(Z37&gt;0,IF(SUM(AA$16:AA36)=0,A36+(-Z36)/(Z37-Z36),""),""),"")</f>
        <v/>
      </c>
      <c r="AB37" s="198"/>
      <c r="AC37" s="251">
        <f t="shared" si="9"/>
        <v>654049.04240520915</v>
      </c>
      <c r="AE37" s="198"/>
    </row>
    <row r="38" spans="1:31" x14ac:dyDescent="0.2">
      <c r="A38" s="176">
        <f t="shared" si="13"/>
        <v>23</v>
      </c>
      <c r="B38" s="56"/>
      <c r="C38" s="51">
        <v>0</v>
      </c>
      <c r="D38" s="252">
        <f t="shared" si="10"/>
        <v>0</v>
      </c>
      <c r="E38" s="56"/>
      <c r="F38" s="51">
        <v>0</v>
      </c>
      <c r="G38" s="241">
        <f t="shared" si="0"/>
        <v>0</v>
      </c>
      <c r="H38" s="242">
        <f>IF($A38&lt;=$N$4,H$15*'General Data'!$S30,"")</f>
        <v>606970</v>
      </c>
      <c r="I38" s="243">
        <f>IF(A38&lt;&gt;"",IF(I$15="",VLOOKUP(A38,'DOE Fuel Esc Rates'!$T$9:$W$38,3,TRUE),I$15),"")</f>
        <v>4.9064704078505272E-3</v>
      </c>
      <c r="J38" s="243">
        <f>((1+I38)*(1+'General Data'!$M$25))-1</f>
        <v>5.9113768782581566E-3</v>
      </c>
      <c r="K38" s="253">
        <f t="shared" si="11"/>
        <v>628052.00189453759</v>
      </c>
      <c r="L38" s="253">
        <f t="shared" si="1"/>
        <v>307546.69054437178</v>
      </c>
      <c r="M38" s="241">
        <f t="shared" si="2"/>
        <v>318228.76694471313</v>
      </c>
      <c r="N38" s="242">
        <f>IF($A38&lt;=$N$4,N$15*'General Data'!$S30,"")</f>
        <v>21400</v>
      </c>
      <c r="O38" s="243">
        <f>IF(A38&lt;&gt;"",IF(O$15="",VLOOKUP(A38,'DOE Fuel Esc Rates'!$T$9:$W$38,4,TRUE),O$15),"")</f>
        <v>1.8242122719734466E-2</v>
      </c>
      <c r="P38" s="243">
        <f>((1+O38)*(1+'General Data'!$M$25))-1</f>
        <v>1.9260364842454081E-2</v>
      </c>
      <c r="Q38" s="253">
        <f t="shared" si="12"/>
        <v>29593.693693693684</v>
      </c>
      <c r="R38" s="253">
        <f t="shared" si="3"/>
        <v>10843.203416395465</v>
      </c>
      <c r="S38" s="241">
        <f t="shared" si="4"/>
        <v>14994.880400150481</v>
      </c>
      <c r="T38" s="242">
        <f t="shared" si="5"/>
        <v>0</v>
      </c>
      <c r="U38" s="245">
        <f t="shared" si="6"/>
        <v>0</v>
      </c>
      <c r="V38" s="246">
        <f>IF($A38&lt;=$N$4,VLOOKUP(A38,'DOE Fuel Esc Rates'!$T$9:$W$38,2,TRUE),"")</f>
        <v>2037</v>
      </c>
      <c r="W38" s="247">
        <f t="shared" si="7"/>
        <v>657645.69558823132</v>
      </c>
      <c r="X38" s="241">
        <f t="shared" si="8"/>
        <v>333223.64734486362</v>
      </c>
      <c r="Y38" s="248">
        <f>IF(A38&lt;&gt;"",SUM(X$15:X38),"")</f>
        <v>10884792.181913838</v>
      </c>
      <c r="Z38" s="249">
        <f>IF(A38&lt;&gt;"",LCC0!Y38-Y38,"")</f>
        <v>738762.00966728292</v>
      </c>
      <c r="AA38" s="312" t="str">
        <f>IF(A38&lt;&gt;"",IF(Z38&gt;0,IF(SUM(AA$16:AA37)=0,A37+(-Z37)/(Z38-Z37),""),""),"")</f>
        <v/>
      </c>
      <c r="AB38" s="198"/>
      <c r="AC38" s="251">
        <f t="shared" si="9"/>
        <v>657645.69558823132</v>
      </c>
      <c r="AE38" s="198"/>
    </row>
    <row r="39" spans="1:31" x14ac:dyDescent="0.2">
      <c r="A39" s="176">
        <f t="shared" si="13"/>
        <v>24</v>
      </c>
      <c r="B39" s="56"/>
      <c r="C39" s="51">
        <v>0</v>
      </c>
      <c r="D39" s="252">
        <f t="shared" si="10"/>
        <v>0</v>
      </c>
      <c r="E39" s="56"/>
      <c r="F39" s="51">
        <v>0</v>
      </c>
      <c r="G39" s="241">
        <f t="shared" si="0"/>
        <v>0</v>
      </c>
      <c r="H39" s="242">
        <f>IF($A39&lt;=$N$4,H$15*'General Data'!$S31,"")</f>
        <v>606970</v>
      </c>
      <c r="I39" s="243">
        <f>IF(A39&lt;&gt;"",IF(I$15="",VLOOKUP(A39,'DOE Fuel Esc Rates'!$T$9:$W$38,3,TRUE),I$15),"")</f>
        <v>4.8825144949649069E-3</v>
      </c>
      <c r="J39" s="243">
        <f>((1+I39)*(1+'General Data'!$M$25))-1</f>
        <v>5.8873970094597272E-3</v>
      </c>
      <c r="K39" s="253">
        <f t="shared" si="11"/>
        <v>631118.4748973794</v>
      </c>
      <c r="L39" s="253">
        <f t="shared" si="1"/>
        <v>298589.01994599204</v>
      </c>
      <c r="M39" s="241">
        <f t="shared" si="2"/>
        <v>310468.46942916076</v>
      </c>
      <c r="N39" s="242">
        <f>IF($A39&lt;=$N$4,N$15*'General Data'!$S31,"")</f>
        <v>21400</v>
      </c>
      <c r="O39" s="243">
        <f>IF(A39&lt;&gt;"",IF(O$15="",VLOOKUP(A39,'DOE Fuel Esc Rates'!$T$9:$W$38,4,TRUE),O$15),"")</f>
        <v>2.6058631921824116E-2</v>
      </c>
      <c r="P39" s="243">
        <f>((1+O39)*(1+'General Data'!$M$25))-1</f>
        <v>2.7084690553745849E-2</v>
      </c>
      <c r="Q39" s="253">
        <f t="shared" si="12"/>
        <v>30364.864864864856</v>
      </c>
      <c r="R39" s="253">
        <f t="shared" si="3"/>
        <v>10527.381957665502</v>
      </c>
      <c r="S39" s="241">
        <f t="shared" si="4"/>
        <v>14937.501426417262</v>
      </c>
      <c r="T39" s="242">
        <f t="shared" si="5"/>
        <v>0</v>
      </c>
      <c r="U39" s="245">
        <f t="shared" si="6"/>
        <v>0</v>
      </c>
      <c r="V39" s="246">
        <f>IF($A39&lt;=$N$4,VLOOKUP(A39,'DOE Fuel Esc Rates'!$T$9:$W$38,2,TRUE),"")</f>
        <v>2038</v>
      </c>
      <c r="W39" s="247">
        <f t="shared" si="7"/>
        <v>661483.33976224426</v>
      </c>
      <c r="X39" s="241">
        <f t="shared" si="8"/>
        <v>325405.97085557802</v>
      </c>
      <c r="Y39" s="248">
        <f>IF(A39&lt;&gt;"",SUM(X$15:X39),"")</f>
        <v>11210198.152769417</v>
      </c>
      <c r="Z39" s="249">
        <f>IF(A39&lt;&gt;"",LCC0!Y39-Y39,"")</f>
        <v>766735.90430855937</v>
      </c>
      <c r="AA39" s="312" t="str">
        <f>IF(A39&lt;&gt;"",IF(Z39&gt;0,IF(SUM(AA$16:AA38)=0,A38+(-Z38)/(Z39-Z38),""),""),"")</f>
        <v/>
      </c>
      <c r="AB39" s="198"/>
      <c r="AC39" s="251">
        <f t="shared" si="9"/>
        <v>661483.33976224426</v>
      </c>
      <c r="AE39" s="198"/>
    </row>
    <row r="40" spans="1:31" x14ac:dyDescent="0.2">
      <c r="A40" s="176">
        <f t="shared" si="13"/>
        <v>25</v>
      </c>
      <c r="B40" s="56" t="s">
        <v>52</v>
      </c>
      <c r="C40" s="51">
        <v>0</v>
      </c>
      <c r="D40" s="252">
        <f t="shared" si="10"/>
        <v>0</v>
      </c>
      <c r="E40" s="56"/>
      <c r="F40" s="51">
        <v>0</v>
      </c>
      <c r="G40" s="241">
        <f t="shared" si="0"/>
        <v>0</v>
      </c>
      <c r="H40" s="242">
        <f>IF($A40&lt;=$N$4,H$15*'General Data'!$S32,"")</f>
        <v>606970</v>
      </c>
      <c r="I40" s="243">
        <f>IF(A40&lt;&gt;"",IF(I$15="",VLOOKUP(A40,'DOE Fuel Esc Rates'!$T$9:$W$38,3,TRUE),I$15),"")</f>
        <v>5.1624658366231646E-3</v>
      </c>
      <c r="J40" s="243">
        <f>((1+I40)*(1+'General Data'!$M$25))-1</f>
        <v>6.167628302459649E-3</v>
      </c>
      <c r="K40" s="253">
        <f t="shared" si="11"/>
        <v>634376.60246289882</v>
      </c>
      <c r="L40" s="253">
        <f t="shared" si="1"/>
        <v>289892.25237474957</v>
      </c>
      <c r="M40" s="241">
        <f t="shared" si="2"/>
        <v>302981.79834557034</v>
      </c>
      <c r="N40" s="242">
        <f>IF($A40&lt;=$N$4,N$15*'General Data'!$S32,"")</f>
        <v>21400</v>
      </c>
      <c r="O40" s="243">
        <f>IF(A40&lt;&gt;"",IF(O$15="",VLOOKUP(A40,'DOE Fuel Esc Rates'!$T$9:$W$38,4,TRUE),O$15),"")</f>
        <v>2.4603174603174738E-2</v>
      </c>
      <c r="P40" s="243">
        <f>((1+O40)*(1+'General Data'!$M$25))-1</f>
        <v>2.5627777777777805E-2</v>
      </c>
      <c r="Q40" s="253">
        <f t="shared" si="12"/>
        <v>31111.936936936931</v>
      </c>
      <c r="R40" s="253">
        <f t="shared" si="3"/>
        <v>10220.759182199517</v>
      </c>
      <c r="S40" s="241">
        <f t="shared" si="4"/>
        <v>14859.234351598619</v>
      </c>
      <c r="T40" s="242">
        <f t="shared" si="5"/>
        <v>0</v>
      </c>
      <c r="U40" s="245">
        <f t="shared" si="6"/>
        <v>0</v>
      </c>
      <c r="V40" s="246">
        <f>IF($A40&lt;=$N$4,VLOOKUP(A40,'DOE Fuel Esc Rates'!$T$9:$W$38,2,TRUE),"")</f>
        <v>2039</v>
      </c>
      <c r="W40" s="247">
        <f t="shared" si="7"/>
        <v>665488.53939983575</v>
      </c>
      <c r="X40" s="241">
        <f t="shared" si="8"/>
        <v>317841.03269716894</v>
      </c>
      <c r="Y40" s="248">
        <f>IF(A40&lt;&gt;"",SUM(X$15:X40),"")</f>
        <v>11528039.185466586</v>
      </c>
      <c r="Z40" s="249">
        <f>IF(A40&lt;&gt;"",LCC0!Y40-Y40,"")</f>
        <v>794086.87797825597</v>
      </c>
      <c r="AA40" s="312" t="str">
        <f>IF(A40&lt;&gt;"",IF(Z40&gt;0,IF(SUM(AA$16:AA39)=0,A39+(-Z39)/(Z40-Z39),""),""),"")</f>
        <v/>
      </c>
      <c r="AB40" s="198"/>
      <c r="AC40" s="251">
        <f t="shared" si="9"/>
        <v>665488.53939983575</v>
      </c>
      <c r="AE40" s="198"/>
    </row>
    <row r="41" spans="1:31" s="124" customFormat="1" ht="11.25" customHeight="1" thickBot="1" x14ac:dyDescent="0.25">
      <c r="A41" s="254"/>
      <c r="B41" s="255"/>
      <c r="C41" s="256"/>
      <c r="D41" s="257"/>
      <c r="E41" s="256"/>
      <c r="F41" s="256"/>
      <c r="G41" s="258"/>
      <c r="H41" s="259"/>
      <c r="I41" s="260"/>
      <c r="J41" s="260"/>
      <c r="K41" s="253"/>
      <c r="L41" s="253"/>
      <c r="M41" s="241"/>
      <c r="N41" s="261"/>
      <c r="O41" s="260"/>
      <c r="P41" s="260"/>
      <c r="Q41" s="260"/>
      <c r="R41" s="253"/>
      <c r="S41" s="241"/>
      <c r="T41" s="251"/>
      <c r="U41" s="258"/>
      <c r="V41" s="129"/>
      <c r="W41" s="129"/>
      <c r="X41" s="262"/>
      <c r="Y41" s="263"/>
      <c r="Z41" s="264"/>
      <c r="AA41" s="265"/>
    </row>
    <row r="42" spans="1:31" s="124" customFormat="1" ht="2.25" customHeight="1" x14ac:dyDescent="0.2">
      <c r="A42" s="266"/>
      <c r="B42" s="267"/>
      <c r="C42" s="267"/>
      <c r="D42" s="268"/>
      <c r="E42" s="267"/>
      <c r="F42" s="267"/>
      <c r="G42" s="269"/>
      <c r="H42" s="270"/>
      <c r="I42" s="271"/>
      <c r="J42" s="271"/>
      <c r="K42" s="271"/>
      <c r="L42" s="271"/>
      <c r="M42" s="272"/>
      <c r="N42" s="271"/>
      <c r="O42" s="271"/>
      <c r="P42" s="271"/>
      <c r="Q42" s="271"/>
      <c r="R42" s="271"/>
      <c r="S42" s="272"/>
      <c r="T42" s="273"/>
      <c r="U42" s="269"/>
      <c r="V42" s="273"/>
      <c r="W42" s="273"/>
      <c r="X42" s="269"/>
      <c r="Y42" s="274"/>
      <c r="Z42" s="273"/>
      <c r="AA42" s="275"/>
    </row>
    <row r="43" spans="1:31" s="289" customFormat="1" x14ac:dyDescent="0.2">
      <c r="A43" s="276"/>
      <c r="B43" s="277"/>
      <c r="C43" s="278">
        <f>SUM(C15:C40)</f>
        <v>224660</v>
      </c>
      <c r="D43" s="279">
        <f>+SUM(D15:D40)</f>
        <v>224660</v>
      </c>
      <c r="E43" s="278"/>
      <c r="F43" s="278">
        <f>SUM(F15:F40)</f>
        <v>0</v>
      </c>
      <c r="G43" s="280">
        <f>+SUM(G15:G40)</f>
        <v>0</v>
      </c>
      <c r="H43" s="281">
        <f>SUM(H16:H40)</f>
        <v>15174250</v>
      </c>
      <c r="I43" s="129"/>
      <c r="J43" s="129"/>
      <c r="K43" s="282">
        <f>SUM(K16:K40)</f>
        <v>15585349.03694348</v>
      </c>
      <c r="L43" s="282">
        <f>SUM(L16:L40)</f>
        <v>10569258.25417502</v>
      </c>
      <c r="M43" s="280">
        <f>+SUM(M16:M40)</f>
        <v>10855770.517799728</v>
      </c>
      <c r="N43" s="281">
        <f>SUM(N16:N40)</f>
        <v>535000</v>
      </c>
      <c r="O43" s="283"/>
      <c r="P43" s="129"/>
      <c r="Q43" s="282">
        <f>SUM(Q16:Q40)</f>
        <v>656001.57657657657</v>
      </c>
      <c r="R43" s="282">
        <f>SUM(R16:R40)</f>
        <v>372641.36059334973</v>
      </c>
      <c r="S43" s="280">
        <f>+SUM(S16:S40)</f>
        <v>447608.66766686266</v>
      </c>
      <c r="T43" s="281">
        <f>SUM(T16:T40)</f>
        <v>0</v>
      </c>
      <c r="U43" s="284">
        <f>+SUM(U16:U40)</f>
        <v>0</v>
      </c>
      <c r="V43" s="283"/>
      <c r="W43" s="285">
        <f>SUM(W15:W40)</f>
        <v>16466010.613520056</v>
      </c>
      <c r="X43" s="284">
        <f>+SUM(X15:X40)</f>
        <v>11528039.185466586</v>
      </c>
      <c r="Y43" s="286">
        <f>X43</f>
        <v>11528039.185466586</v>
      </c>
      <c r="Z43" s="287" t="s">
        <v>49</v>
      </c>
      <c r="AA43" s="313">
        <f>IF(SUM(AA16:AA40)&gt;0,SUM(AA16:AA40),"&gt;"&amp;T4)</f>
        <v>3.3069754779902918</v>
      </c>
      <c r="AC43" s="289">
        <f>+SUM(AC15:AC40)</f>
        <v>16241350.613520056</v>
      </c>
    </row>
    <row r="44" spans="1:31" s="124" customFormat="1" ht="5.25" customHeight="1" thickBot="1" x14ac:dyDescent="0.25">
      <c r="A44" s="290"/>
      <c r="B44" s="291"/>
      <c r="C44" s="291"/>
      <c r="D44" s="292"/>
      <c r="E44" s="291"/>
      <c r="F44" s="291"/>
      <c r="G44" s="293"/>
      <c r="H44" s="291"/>
      <c r="I44" s="294"/>
      <c r="J44" s="294"/>
      <c r="K44" s="294"/>
      <c r="L44" s="294"/>
      <c r="M44" s="293"/>
      <c r="N44" s="294"/>
      <c r="O44" s="294"/>
      <c r="P44" s="294"/>
      <c r="Q44" s="294"/>
      <c r="R44" s="294"/>
      <c r="S44" s="293"/>
      <c r="T44" s="294"/>
      <c r="U44" s="293"/>
      <c r="V44" s="294"/>
      <c r="W44" s="294"/>
      <c r="X44" s="293"/>
      <c r="Y44" s="295"/>
      <c r="Z44" s="294"/>
      <c r="AA44" s="293"/>
    </row>
    <row r="45" spans="1:31" s="124" customFormat="1" ht="6" customHeight="1" x14ac:dyDescent="0.2">
      <c r="A45" s="129"/>
      <c r="B45" s="296"/>
      <c r="C45" s="296"/>
      <c r="D45" s="296"/>
      <c r="E45" s="296"/>
      <c r="F45" s="74"/>
      <c r="G45" s="74"/>
      <c r="H45" s="296"/>
      <c r="I45" s="74"/>
      <c r="J45" s="74"/>
      <c r="K45" s="74"/>
      <c r="L45" s="74"/>
      <c r="M45" s="74"/>
      <c r="N45" s="74"/>
      <c r="O45" s="74"/>
      <c r="P45" s="74"/>
      <c r="Q45" s="74"/>
      <c r="R45" s="74"/>
      <c r="S45" s="74"/>
      <c r="T45" s="74"/>
      <c r="U45" s="74"/>
      <c r="V45" s="74"/>
      <c r="W45" s="74"/>
      <c r="X45" s="74"/>
      <c r="AA45" s="141"/>
    </row>
    <row r="46" spans="1:31" x14ac:dyDescent="0.2">
      <c r="B46" s="297" t="s">
        <v>53</v>
      </c>
      <c r="C46" s="298" t="s">
        <v>1</v>
      </c>
      <c r="I46" s="299"/>
      <c r="J46" s="299"/>
      <c r="M46" s="251"/>
      <c r="P46" s="299"/>
      <c r="S46" s="300"/>
      <c r="U46" s="301"/>
      <c r="X46" s="302"/>
    </row>
    <row r="47" spans="1:31" x14ac:dyDescent="0.2">
      <c r="C47" s="304" t="s">
        <v>201</v>
      </c>
      <c r="M47" s="251"/>
      <c r="X47" s="302"/>
    </row>
    <row r="48" spans="1:31" x14ac:dyDescent="0.2">
      <c r="L48" s="305"/>
      <c r="X48" s="302"/>
    </row>
    <row r="49" spans="8:24" x14ac:dyDescent="0.2">
      <c r="H49" s="306"/>
      <c r="L49" s="305"/>
      <c r="M49" s="251"/>
    </row>
    <row r="50" spans="8:24" x14ac:dyDescent="0.2">
      <c r="H50" s="255"/>
      <c r="M50" s="251"/>
      <c r="X50" s="307"/>
    </row>
    <row r="51" spans="8:24" x14ac:dyDescent="0.2">
      <c r="M51" s="308"/>
      <c r="X51" s="309"/>
    </row>
    <row r="52" spans="8:24" x14ac:dyDescent="0.2">
      <c r="H52" s="306"/>
      <c r="M52" s="308"/>
    </row>
    <row r="53" spans="8:24" x14ac:dyDescent="0.2">
      <c r="H53" s="306"/>
    </row>
    <row r="54" spans="8:24" x14ac:dyDescent="0.2">
      <c r="H54" s="310"/>
    </row>
    <row r="56" spans="8:24" x14ac:dyDescent="0.2">
      <c r="H56" s="311"/>
      <c r="M56" s="307"/>
    </row>
  </sheetData>
  <phoneticPr fontId="0" type="noConversion"/>
  <printOptions horizontalCentered="1"/>
  <pageMargins left="0.35" right="0.35" top="0.75" bottom="0.75" header="0.5" footer="0.5"/>
  <pageSetup paperSize="4" scale="70" orientation="landscape" horizontalDpi="4294967292" verticalDpi="300"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CB70"/>
  <sheetViews>
    <sheetView showGridLines="0" topLeftCell="A13" workbookViewId="0">
      <selection activeCell="D48" sqref="D48"/>
    </sheetView>
  </sheetViews>
  <sheetFormatPr defaultRowHeight="12.75" x14ac:dyDescent="0.2"/>
  <cols>
    <col min="1" max="1" width="1" customWidth="1"/>
    <col min="2" max="2" width="5.5703125" style="5" customWidth="1"/>
    <col min="3" max="3" width="31.42578125" customWidth="1"/>
    <col min="4" max="4" width="9.7109375" customWidth="1"/>
    <col min="5" max="5" width="9.5703125" style="1" customWidth="1"/>
    <col min="6" max="6" width="11.7109375" style="1" hidden="1" customWidth="1"/>
    <col min="7" max="7" width="12" style="1" hidden="1" customWidth="1"/>
    <col min="8" max="9" width="11" style="1" hidden="1" customWidth="1"/>
    <col min="10" max="10" width="9.7109375" style="1" customWidth="1"/>
    <col min="11" max="12" width="12" style="1" customWidth="1"/>
    <col min="13" max="14" width="6.85546875" style="1" customWidth="1"/>
    <col min="15" max="15" width="12.85546875" style="1" customWidth="1"/>
    <col min="16" max="16" width="11.85546875" style="1" customWidth="1"/>
    <col min="17" max="17" width="9.28515625" style="1" customWidth="1"/>
    <col min="18" max="19" width="7.5703125" style="1" customWidth="1"/>
    <col min="20" max="20" width="9.85546875" style="1" bestFit="1" customWidth="1"/>
    <col min="21" max="21" width="11.7109375" style="1" bestFit="1" customWidth="1"/>
    <col min="22" max="22" width="7.5703125" customWidth="1"/>
    <col min="23" max="23" width="7.5703125" style="1" customWidth="1"/>
    <col min="24" max="24" width="2.85546875" style="6" customWidth="1"/>
    <col min="25" max="25" width="2.140625" style="101" hidden="1" customWidth="1"/>
    <col min="26" max="26" width="2.42578125" style="74" hidden="1" customWidth="1"/>
    <col min="27" max="39" width="9.85546875" style="74" hidden="1" customWidth="1"/>
    <col min="40" max="54" width="11.85546875" style="74" hidden="1" customWidth="1"/>
  </cols>
  <sheetData>
    <row r="1" spans="2:56" x14ac:dyDescent="0.2">
      <c r="B1" s="81"/>
      <c r="C1" s="82"/>
      <c r="D1" s="82"/>
      <c r="E1" s="83"/>
      <c r="F1" s="83"/>
      <c r="G1" s="83"/>
      <c r="H1" s="83"/>
      <c r="I1" s="83"/>
      <c r="J1" s="83"/>
      <c r="K1" s="83"/>
      <c r="L1" s="83"/>
      <c r="M1" s="83"/>
      <c r="N1" s="83"/>
      <c r="O1" s="83"/>
      <c r="P1" s="83"/>
      <c r="Q1" s="83"/>
      <c r="R1" s="83"/>
      <c r="S1" s="83"/>
      <c r="T1" s="83"/>
      <c r="U1" s="83"/>
      <c r="V1" s="82"/>
      <c r="W1" s="83"/>
      <c r="X1" s="98"/>
    </row>
    <row r="2" spans="2:56" ht="18" x14ac:dyDescent="0.25">
      <c r="B2" s="84" t="s">
        <v>56</v>
      </c>
      <c r="C2" s="84"/>
      <c r="D2" s="84"/>
      <c r="E2" s="84"/>
      <c r="F2" s="84"/>
      <c r="G2" s="84"/>
      <c r="H2" s="84"/>
      <c r="I2" s="84"/>
      <c r="J2" s="84"/>
      <c r="K2" s="84"/>
      <c r="L2" s="84"/>
      <c r="M2" s="84"/>
      <c r="N2" s="84"/>
      <c r="O2" s="84"/>
      <c r="P2" s="84"/>
      <c r="Q2" s="84"/>
      <c r="R2" s="84"/>
      <c r="S2" s="84"/>
      <c r="T2" s="84"/>
      <c r="U2" s="84"/>
      <c r="V2" s="84"/>
      <c r="W2" s="84"/>
      <c r="X2" s="98"/>
    </row>
    <row r="3" spans="2:56" ht="18" x14ac:dyDescent="0.25">
      <c r="B3" s="84" t="s">
        <v>148</v>
      </c>
      <c r="C3" s="84"/>
      <c r="D3" s="84"/>
      <c r="E3" s="84"/>
      <c r="F3" s="84"/>
      <c r="G3" s="84"/>
      <c r="H3" s="84"/>
      <c r="I3" s="84"/>
      <c r="J3" s="84"/>
      <c r="K3" s="84"/>
      <c r="L3" s="84"/>
      <c r="M3" s="84"/>
      <c r="N3" s="84"/>
      <c r="O3" s="84"/>
      <c r="P3" s="84"/>
      <c r="Q3" s="84"/>
      <c r="R3" s="84"/>
      <c r="S3" s="84"/>
      <c r="T3" s="84"/>
      <c r="U3" s="84"/>
      <c r="V3" s="84"/>
      <c r="W3" s="84"/>
      <c r="X3" s="98"/>
    </row>
    <row r="4" spans="2:56" ht="12" customHeight="1" x14ac:dyDescent="0.2">
      <c r="B4" s="81"/>
      <c r="C4" s="82"/>
      <c r="D4" s="82"/>
      <c r="E4" s="83"/>
      <c r="F4" s="83"/>
      <c r="G4" s="83"/>
      <c r="H4" s="83"/>
      <c r="I4" s="83"/>
      <c r="J4" s="83"/>
      <c r="K4" s="83"/>
      <c r="L4" s="83"/>
      <c r="M4" s="83"/>
      <c r="N4" s="83"/>
      <c r="O4" s="83"/>
      <c r="P4" s="83"/>
      <c r="Q4" s="83"/>
      <c r="R4" s="83"/>
      <c r="S4" s="83"/>
      <c r="T4" s="83"/>
      <c r="U4" s="83"/>
      <c r="V4" s="83" t="s">
        <v>57</v>
      </c>
      <c r="W4" s="83" t="s">
        <v>58</v>
      </c>
      <c r="X4" s="98"/>
    </row>
    <row r="5" spans="2:56" ht="12" customHeight="1" x14ac:dyDescent="0.2">
      <c r="B5" s="81"/>
      <c r="C5" s="82"/>
      <c r="D5" s="82"/>
      <c r="E5" s="83"/>
      <c r="F5" s="83"/>
      <c r="G5" s="83"/>
      <c r="H5" s="83"/>
      <c r="I5" s="83"/>
      <c r="J5" s="83"/>
      <c r="K5" s="83"/>
      <c r="L5" s="83"/>
      <c r="M5" s="83"/>
      <c r="N5" s="83"/>
      <c r="O5" s="85"/>
      <c r="P5" s="85"/>
      <c r="Q5" s="83"/>
      <c r="R5" s="83"/>
      <c r="S5" s="83"/>
      <c r="T5" s="83"/>
      <c r="U5" s="83"/>
      <c r="V5" s="83" t="str">
        <f>"-to-"</f>
        <v>-to-</v>
      </c>
      <c r="W5" s="83" t="s">
        <v>59</v>
      </c>
      <c r="X5" s="98"/>
    </row>
    <row r="6" spans="2:56" x14ac:dyDescent="0.2">
      <c r="B6" s="81"/>
      <c r="C6" s="82"/>
      <c r="D6" s="85" t="s">
        <v>60</v>
      </c>
      <c r="E6" s="85"/>
      <c r="F6" s="85" t="s">
        <v>32</v>
      </c>
      <c r="G6" s="85"/>
      <c r="H6" s="85" t="str">
        <f>IF('General Data'!H27=0,"No 2nd Fuel Type",IF('General Data'!$H$27=1,"Natural Gas",IF('General Data'!$H$27=2,"LPG",IF('General Data'!$H$27=3,"Distilate Fuel Oil",IF('General Data'!$H$27=4,"Residual Fuel Oil",IF('General Data'!$H$27=5,"Coal",IF('General Data'!$H$27=0,"None","error in H22 General Data")))))))</f>
        <v>Natural Gas</v>
      </c>
      <c r="I6" s="85"/>
      <c r="J6" s="85" t="s">
        <v>170</v>
      </c>
      <c r="K6" s="85"/>
      <c r="L6" s="85"/>
      <c r="M6" s="85" t="s">
        <v>153</v>
      </c>
      <c r="N6" s="85"/>
      <c r="O6" s="83" t="s">
        <v>61</v>
      </c>
      <c r="P6" s="83" t="s">
        <v>61</v>
      </c>
      <c r="Q6" s="83" t="s">
        <v>62</v>
      </c>
      <c r="R6" s="85" t="s">
        <v>63</v>
      </c>
      <c r="S6" s="85" t="s">
        <v>64</v>
      </c>
      <c r="T6" s="83" t="s">
        <v>65</v>
      </c>
      <c r="U6" s="83" t="s">
        <v>66</v>
      </c>
      <c r="V6" s="83" t="s">
        <v>67</v>
      </c>
      <c r="W6" s="83" t="s">
        <v>68</v>
      </c>
      <c r="X6" s="98"/>
    </row>
    <row r="7" spans="2:56" x14ac:dyDescent="0.2">
      <c r="B7" s="81"/>
      <c r="C7" s="82"/>
      <c r="D7" s="83" t="s">
        <v>69</v>
      </c>
      <c r="E7" s="83" t="s">
        <v>70</v>
      </c>
      <c r="F7" s="83" t="s">
        <v>69</v>
      </c>
      <c r="G7" s="83" t="s">
        <v>70</v>
      </c>
      <c r="H7" s="83" t="s">
        <v>69</v>
      </c>
      <c r="I7" s="83" t="s">
        <v>70</v>
      </c>
      <c r="J7" s="83" t="s">
        <v>69</v>
      </c>
      <c r="K7" s="83" t="s">
        <v>183</v>
      </c>
      <c r="L7" s="83" t="s">
        <v>70</v>
      </c>
      <c r="M7" s="83" t="s">
        <v>69</v>
      </c>
      <c r="N7" s="83" t="s">
        <v>70</v>
      </c>
      <c r="O7" s="83" t="s">
        <v>183</v>
      </c>
      <c r="P7" s="83" t="s">
        <v>70</v>
      </c>
      <c r="Q7" s="83" t="s">
        <v>43</v>
      </c>
      <c r="R7" s="83" t="s">
        <v>54</v>
      </c>
      <c r="S7" s="83" t="s">
        <v>54</v>
      </c>
      <c r="T7" s="83" t="s">
        <v>71</v>
      </c>
      <c r="U7" s="83" t="s">
        <v>71</v>
      </c>
      <c r="V7" s="83" t="s">
        <v>72</v>
      </c>
      <c r="W7" s="83" t="s">
        <v>73</v>
      </c>
      <c r="X7" s="98"/>
    </row>
    <row r="8" spans="2:56" x14ac:dyDescent="0.2">
      <c r="B8" s="81" t="s">
        <v>74</v>
      </c>
      <c r="C8" s="83" t="s">
        <v>35</v>
      </c>
      <c r="D8" s="83" t="s">
        <v>75</v>
      </c>
      <c r="E8" s="86" t="s">
        <v>46</v>
      </c>
      <c r="F8" s="83" t="s">
        <v>75</v>
      </c>
      <c r="G8" s="86" t="s">
        <v>46</v>
      </c>
      <c r="H8" s="83" t="s">
        <v>75</v>
      </c>
      <c r="I8" s="86" t="s">
        <v>46</v>
      </c>
      <c r="J8" s="83" t="s">
        <v>75</v>
      </c>
      <c r="K8" s="86" t="s">
        <v>46</v>
      </c>
      <c r="L8" s="86" t="s">
        <v>46</v>
      </c>
      <c r="M8" s="83" t="s">
        <v>75</v>
      </c>
      <c r="N8" s="86" t="s">
        <v>46</v>
      </c>
      <c r="O8" s="86" t="s">
        <v>46</v>
      </c>
      <c r="P8" s="86" t="s">
        <v>46</v>
      </c>
      <c r="Q8" s="86" t="s">
        <v>76</v>
      </c>
      <c r="R8" s="86" t="s">
        <v>55</v>
      </c>
      <c r="S8" s="86" t="s">
        <v>55</v>
      </c>
      <c r="T8" s="86" t="s">
        <v>46</v>
      </c>
      <c r="U8" s="86" t="s">
        <v>46</v>
      </c>
      <c r="V8" s="83" t="s">
        <v>77</v>
      </c>
      <c r="W8" s="83" t="s">
        <v>78</v>
      </c>
      <c r="X8" s="98"/>
    </row>
    <row r="9" spans="2:56" ht="11.25" customHeight="1" x14ac:dyDescent="0.2">
      <c r="B9" s="81"/>
      <c r="C9" s="82"/>
      <c r="D9" s="83"/>
      <c r="E9" s="86"/>
      <c r="F9" s="83"/>
      <c r="G9" s="86"/>
      <c r="H9" s="83"/>
      <c r="I9" s="86"/>
      <c r="J9" s="86"/>
      <c r="K9" s="86"/>
      <c r="L9" s="86"/>
      <c r="M9" s="83"/>
      <c r="N9" s="86"/>
      <c r="O9" s="86"/>
      <c r="P9" s="86"/>
      <c r="Q9" s="86"/>
      <c r="R9" s="86"/>
      <c r="S9" s="86"/>
      <c r="T9" s="83"/>
      <c r="U9" s="83"/>
      <c r="V9" s="82"/>
      <c r="W9" s="83"/>
      <c r="X9" s="98"/>
    </row>
    <row r="10" spans="2:56" ht="15.75" customHeight="1" thickBot="1" x14ac:dyDescent="0.25">
      <c r="B10" s="87" t="s">
        <v>79</v>
      </c>
      <c r="C10" s="87"/>
      <c r="D10" s="88"/>
      <c r="E10" s="88"/>
      <c r="F10" s="88"/>
      <c r="G10" s="88"/>
      <c r="H10" s="88"/>
      <c r="I10" s="88"/>
      <c r="J10" s="88"/>
      <c r="K10" s="88"/>
      <c r="L10" s="88"/>
      <c r="M10" s="88"/>
      <c r="N10" s="88"/>
      <c r="O10" s="88"/>
      <c r="P10" s="88"/>
      <c r="Q10" s="87"/>
      <c r="R10" s="87"/>
      <c r="S10" s="87"/>
      <c r="T10" s="87"/>
      <c r="U10" s="87"/>
      <c r="V10" s="87"/>
      <c r="W10" s="87"/>
      <c r="X10" s="98"/>
      <c r="BC10" s="74"/>
      <c r="BD10" s="74"/>
    </row>
    <row r="11" spans="2:56" x14ac:dyDescent="0.2">
      <c r="B11" s="81" t="s">
        <v>80</v>
      </c>
      <c r="C11" s="82" t="str">
        <f>LCC0!$B$4</f>
        <v>Single Clear</v>
      </c>
      <c r="D11" s="89">
        <f>LCC0!$C$15</f>
        <v>54300</v>
      </c>
      <c r="E11" s="89">
        <f>SUM(LCC0!$D$43,LCC0!$G$43)</f>
        <v>54300</v>
      </c>
      <c r="F11" s="89">
        <f>LCC0!$H$15</f>
        <v>656310</v>
      </c>
      <c r="G11" s="89">
        <f>LCC0!$M$43</f>
        <v>11738225.52768199</v>
      </c>
      <c r="H11" s="89">
        <f>LCC0!$N$15</f>
        <v>25320</v>
      </c>
      <c r="I11" s="89">
        <f>LCC0!$S$43</f>
        <v>529600.5357628488</v>
      </c>
      <c r="J11" s="89">
        <f>SUM(F11,H11)</f>
        <v>681630</v>
      </c>
      <c r="K11" s="89">
        <f>LCC0!$AC$43</f>
        <v>17628433.228522178</v>
      </c>
      <c r="L11" s="89">
        <f>SUM(G11,I11)</f>
        <v>12267826.063444838</v>
      </c>
      <c r="M11" s="89">
        <f>LCC0!$T$15</f>
        <v>0</v>
      </c>
      <c r="N11" s="89">
        <f>LCC0!$U$43</f>
        <v>0</v>
      </c>
      <c r="O11" s="89">
        <f>LCC0!W$43</f>
        <v>17682733.228522178</v>
      </c>
      <c r="P11" s="89">
        <f>LCC0!X$43</f>
        <v>12322126.063444842</v>
      </c>
      <c r="Q11" s="90" t="s">
        <v>49</v>
      </c>
      <c r="R11" s="90" t="s">
        <v>49</v>
      </c>
      <c r="S11" s="90" t="s">
        <v>49</v>
      </c>
      <c r="T11" s="89">
        <f>LCC0!D$43</f>
        <v>54300</v>
      </c>
      <c r="U11" s="89">
        <f>SUM(LCC0!G$43,LCC0!M$43,LCC0!S$43,LCC0!U$43)</f>
        <v>12267826.063444838</v>
      </c>
      <c r="V11" s="90" t="s">
        <v>49</v>
      </c>
      <c r="W11" s="90" t="s">
        <v>49</v>
      </c>
      <c r="X11" s="98"/>
    </row>
    <row r="12" spans="2:56" x14ac:dyDescent="0.2">
      <c r="B12" s="81" t="str">
        <f>'LCC1'!B3</f>
        <v>Alt 1</v>
      </c>
      <c r="C12" s="98" t="str">
        <f ca="1">'LCC1'!B$4&amp;" "&amp;X25</f>
        <v>Single Pane Azurlite **</v>
      </c>
      <c r="D12" s="89">
        <f>'LCC1'!$C$15</f>
        <v>74880</v>
      </c>
      <c r="E12" s="89">
        <f>SUM('LCC1'!$D$43,'LCC1'!$G$43)</f>
        <v>74880</v>
      </c>
      <c r="F12" s="89">
        <f>'LCC1'!H$15</f>
        <v>630000</v>
      </c>
      <c r="G12" s="89">
        <f>'LCC1'!M$43</f>
        <v>11267666.31993974</v>
      </c>
      <c r="H12" s="89">
        <f>'LCC1'!N$15</f>
        <v>25380</v>
      </c>
      <c r="I12" s="89">
        <f>'LCC1'!S$43</f>
        <v>530855.51333574625</v>
      </c>
      <c r="J12" s="89">
        <f>SUM(F12,H12)</f>
        <v>655380</v>
      </c>
      <c r="K12" s="89">
        <f>'LCC1'!$AC$43</f>
        <v>16954702.797877602</v>
      </c>
      <c r="L12" s="89">
        <f>SUM(G12,I12)</f>
        <v>11798521.833275486</v>
      </c>
      <c r="M12" s="89">
        <f>'LCC1'!T$15</f>
        <v>0</v>
      </c>
      <c r="N12" s="89">
        <f>'LCC1'!U$43</f>
        <v>0</v>
      </c>
      <c r="O12" s="89">
        <f>'LCC1'!W$43</f>
        <v>17029582.797877602</v>
      </c>
      <c r="P12" s="89">
        <f>'LCC1'!X$43</f>
        <v>11873401.833275488</v>
      </c>
      <c r="Q12" s="90" t="s">
        <v>49</v>
      </c>
      <c r="R12" s="90" t="s">
        <v>49</v>
      </c>
      <c r="S12" s="90" t="s">
        <v>49</v>
      </c>
      <c r="T12" s="89">
        <f>'LCC1'!D$43</f>
        <v>74880</v>
      </c>
      <c r="U12" s="89">
        <f>SUM('LCC1'!G$43,'LCC1'!M$43,'LCC1'!S$43,'LCC1'!U$43)</f>
        <v>11798521.833275486</v>
      </c>
      <c r="V12" s="90" t="s">
        <v>49</v>
      </c>
      <c r="W12" s="90" t="s">
        <v>49</v>
      </c>
      <c r="X12" s="98"/>
    </row>
    <row r="13" spans="2:56" x14ac:dyDescent="0.2">
      <c r="B13" s="81" t="str">
        <f>'LCC2'!B3</f>
        <v>Alt 2</v>
      </c>
      <c r="C13" s="98" t="str">
        <f ca="1">'LCC2'!B$4&amp;" "&amp;X26</f>
        <v xml:space="preserve">Calif Series - Water White Crystal </v>
      </c>
      <c r="D13" s="89">
        <f>'LCC2'!$C$15</f>
        <v>482040</v>
      </c>
      <c r="E13" s="89">
        <f>SUM('LCC2'!$D$43,'LCC2'!$G$43)</f>
        <v>482040</v>
      </c>
      <c r="F13" s="89">
        <f>'LCC2'!H$15</f>
        <v>620100</v>
      </c>
      <c r="G13" s="89">
        <f>'LCC2'!M$43</f>
        <v>11090602.992054977</v>
      </c>
      <c r="H13" s="89">
        <f>'LCC2'!N$15</f>
        <v>25620</v>
      </c>
      <c r="I13" s="89">
        <f>'LCC2'!S$43</f>
        <v>535875.42362733744</v>
      </c>
      <c r="J13" s="89">
        <f t="shared" ref="J13:J20" si="0">SUM(F13,H13)</f>
        <v>645720</v>
      </c>
      <c r="K13" s="89">
        <f>'LCC2'!$AC$43</f>
        <v>16707854.583351109</v>
      </c>
      <c r="L13" s="89">
        <f t="shared" ref="L13:L20" si="1">SUM(G13,I13)</f>
        <v>11626478.415682314</v>
      </c>
      <c r="M13" s="89">
        <f>'LCC2'!T$15</f>
        <v>0</v>
      </c>
      <c r="N13" s="89">
        <f>'LCC2'!U$43</f>
        <v>0</v>
      </c>
      <c r="O13" s="89">
        <f>'LCC2'!W$43</f>
        <v>17189894.583351109</v>
      </c>
      <c r="P13" s="89">
        <f>'LCC2'!X$43</f>
        <v>12108518.415682318</v>
      </c>
      <c r="Q13" s="90" t="s">
        <v>49</v>
      </c>
      <c r="R13" s="90" t="s">
        <v>49</v>
      </c>
      <c r="S13" s="90" t="s">
        <v>49</v>
      </c>
      <c r="T13" s="89">
        <f>'LCC2'!D$43</f>
        <v>482040</v>
      </c>
      <c r="U13" s="89">
        <f>SUM('LCC2'!G$43,'LCC2'!M$43,'LCC2'!S$43,'LCC2'!U$43)</f>
        <v>11626478.415682314</v>
      </c>
      <c r="V13" s="90" t="s">
        <v>49</v>
      </c>
      <c r="W13" s="90" t="s">
        <v>49</v>
      </c>
      <c r="X13" s="98"/>
    </row>
    <row r="14" spans="2:56" x14ac:dyDescent="0.2">
      <c r="B14" s="81" t="str">
        <f>'LCC3'!$B$3</f>
        <v>Alt 3</v>
      </c>
      <c r="C14" s="98" t="str">
        <f ca="1">'LCC3'!B$4&amp;" "&amp;X27</f>
        <v xml:space="preserve">Calif Series - Sea Foam Low-E Clear </v>
      </c>
      <c r="D14" s="89">
        <f>'LCC3'!$C$15</f>
        <v>383760</v>
      </c>
      <c r="E14" s="89">
        <f>SUM('LCC3'!$D$43,'LCC3'!$G$43)</f>
        <v>383760</v>
      </c>
      <c r="F14" s="89">
        <f>'LCC3'!H$15</f>
        <v>615380</v>
      </c>
      <c r="G14" s="89">
        <f>'LCC3'!M$43</f>
        <v>11006184.920578603</v>
      </c>
      <c r="H14" s="89">
        <f>'LCC3'!N$15</f>
        <v>23840</v>
      </c>
      <c r="I14" s="89">
        <f>'LCC3'!S$43</f>
        <v>498644.42229803756</v>
      </c>
      <c r="J14" s="89">
        <f t="shared" si="0"/>
        <v>639220</v>
      </c>
      <c r="K14" s="89">
        <f>'LCC3'!$AC$43</f>
        <v>16532093.123796351</v>
      </c>
      <c r="L14" s="89">
        <f t="shared" si="1"/>
        <v>11504829.342876641</v>
      </c>
      <c r="M14" s="89">
        <f>'LCC3'!T$15</f>
        <v>0</v>
      </c>
      <c r="N14" s="89">
        <f>'LCC3'!U$43</f>
        <v>0</v>
      </c>
      <c r="O14" s="89">
        <f>'LCC3'!W$43</f>
        <v>16915853.123796351</v>
      </c>
      <c r="P14" s="89">
        <f>'LCC3'!X$43</f>
        <v>11888589.342876637</v>
      </c>
      <c r="Q14" s="90" t="s">
        <v>49</v>
      </c>
      <c r="R14" s="90" t="s">
        <v>49</v>
      </c>
      <c r="S14" s="90" t="s">
        <v>49</v>
      </c>
      <c r="T14" s="89">
        <f>'LCC3'!D$43</f>
        <v>383760</v>
      </c>
      <c r="U14" s="89">
        <f>SUM('LCC3'!G$43,'LCC3'!M$43,'LCC3'!S$43,'LCC3'!U$43)</f>
        <v>11504829.342876641</v>
      </c>
      <c r="V14" s="90" t="s">
        <v>49</v>
      </c>
      <c r="W14" s="90" t="s">
        <v>49</v>
      </c>
      <c r="X14" s="98"/>
    </row>
    <row r="15" spans="2:56" x14ac:dyDescent="0.2">
      <c r="B15" s="81" t="str">
        <f>'LCC4'!$B$3</f>
        <v>Alt 4</v>
      </c>
      <c r="C15" s="98" t="str">
        <f ca="1">'LCC4'!B$4&amp;" "&amp;X28</f>
        <v xml:space="preserve">Calif Series - Tahoe Blue </v>
      </c>
      <c r="D15" s="89">
        <f>'LCC4'!$C$15</f>
        <v>332280</v>
      </c>
      <c r="E15" s="89">
        <f>SUM('LCC4'!$D$43,'LCC4'!$G$43)</f>
        <v>332280</v>
      </c>
      <c r="F15" s="89">
        <f>'LCC4'!H$15</f>
        <v>612960</v>
      </c>
      <c r="G15" s="89">
        <f>'LCC4'!M$43</f>
        <v>10962902.773762327</v>
      </c>
      <c r="H15" s="89">
        <f>'LCC4'!N$15</f>
        <v>26180</v>
      </c>
      <c r="I15" s="89">
        <f>'LCC4'!S$43</f>
        <v>547588.54764104972</v>
      </c>
      <c r="J15" s="89">
        <f t="shared" si="0"/>
        <v>639140</v>
      </c>
      <c r="K15" s="89">
        <f>'LCC4'!$AC$43</f>
        <v>16541685.078263452</v>
      </c>
      <c r="L15" s="89">
        <f t="shared" si="1"/>
        <v>11510491.321403377</v>
      </c>
      <c r="M15" s="89">
        <f>'LCC4'!T$15</f>
        <v>0</v>
      </c>
      <c r="N15" s="89">
        <f>'LCC4'!U$43</f>
        <v>0</v>
      </c>
      <c r="O15" s="89">
        <f>'LCC4'!W$43</f>
        <v>16873965.078263454</v>
      </c>
      <c r="P15" s="89">
        <f>'LCC4'!X$43</f>
        <v>11842771.321403377</v>
      </c>
      <c r="Q15" s="90" t="s">
        <v>49</v>
      </c>
      <c r="R15" s="90" t="s">
        <v>49</v>
      </c>
      <c r="S15" s="90" t="s">
        <v>49</v>
      </c>
      <c r="T15" s="89">
        <f>'LCC4'!D$43</f>
        <v>332280</v>
      </c>
      <c r="U15" s="89">
        <f>SUM('LCC4'!G$43,'LCC4'!M$43,'LCC4'!S$43,'LCC4'!U$43)</f>
        <v>11510491.321403377</v>
      </c>
      <c r="V15" s="90" t="s">
        <v>49</v>
      </c>
      <c r="W15" s="90" t="s">
        <v>49</v>
      </c>
      <c r="X15" s="98"/>
    </row>
    <row r="16" spans="2:56" x14ac:dyDescent="0.2">
      <c r="B16" s="81" t="str">
        <f>'LCC5'!$B$3</f>
        <v>Alt 5</v>
      </c>
      <c r="C16" s="98" t="str">
        <f ca="1">'LCC5'!B$4&amp;" "&amp;X29</f>
        <v xml:space="preserve">Viracon - VE1-55 - Low-E Clear </v>
      </c>
      <c r="D16" s="89">
        <f>'LCC5'!$C$15</f>
        <v>169650</v>
      </c>
      <c r="E16" s="89">
        <f>SUM('LCC5'!$D$43,'LCC5'!$G$43)</f>
        <v>169650</v>
      </c>
      <c r="F16" s="89">
        <f>'LCC5'!H$15</f>
        <v>621850</v>
      </c>
      <c r="G16" s="89">
        <f>'LCC5'!M$43</f>
        <v>11121902.065165918</v>
      </c>
      <c r="H16" s="89">
        <f>'LCC5'!N$15</f>
        <v>20210</v>
      </c>
      <c r="I16" s="89">
        <f>'LCC5'!S$43</f>
        <v>422718.27913772414</v>
      </c>
      <c r="J16" s="89">
        <f t="shared" si="0"/>
        <v>642060</v>
      </c>
      <c r="K16" s="89">
        <f>'LCC5'!$AC$43</f>
        <v>16586950.202421794</v>
      </c>
      <c r="L16" s="89">
        <f t="shared" si="1"/>
        <v>11544620.344303643</v>
      </c>
      <c r="M16" s="89">
        <f>'LCC5'!T$15</f>
        <v>0</v>
      </c>
      <c r="N16" s="89">
        <f>'LCC5'!U$43</f>
        <v>0</v>
      </c>
      <c r="O16" s="89">
        <f>'LCC5'!W$43</f>
        <v>16756600.202421794</v>
      </c>
      <c r="P16" s="89">
        <f>'LCC5'!X$43</f>
        <v>11714270.344303641</v>
      </c>
      <c r="Q16" s="90" t="s">
        <v>49</v>
      </c>
      <c r="R16" s="90" t="s">
        <v>49</v>
      </c>
      <c r="S16" s="90" t="s">
        <v>49</v>
      </c>
      <c r="T16" s="89">
        <f>'LCC5'!D$43</f>
        <v>169650</v>
      </c>
      <c r="U16" s="89">
        <f>SUM('LCC5'!G$43,'LCC5'!M$43,'LCC5'!S$43,'LCC5'!U$43)</f>
        <v>11544620.344303643</v>
      </c>
      <c r="V16" s="90" t="s">
        <v>49</v>
      </c>
      <c r="W16" s="90" t="s">
        <v>49</v>
      </c>
      <c r="X16" s="98"/>
    </row>
    <row r="17" spans="2:80" x14ac:dyDescent="0.2">
      <c r="B17" s="81" t="str">
        <f>'LCC6'!$B$3</f>
        <v>Alt 6</v>
      </c>
      <c r="C17" s="98" t="str">
        <f ca="1">'LCC6'!B$4&amp;" "&amp;X30</f>
        <v xml:space="preserve">Viracon - VE1-85 - Low-E Clear </v>
      </c>
      <c r="D17" s="89">
        <f>'LCC6'!$C$15</f>
        <v>174330</v>
      </c>
      <c r="E17" s="89">
        <f>SUM('LCC6'!$D$43,'LCC6'!$G$43)</f>
        <v>174330</v>
      </c>
      <c r="F17" s="89">
        <f>'LCC6'!H$15</f>
        <v>641730</v>
      </c>
      <c r="G17" s="89">
        <f>'LCC6'!M$43</f>
        <v>11477459.535706243</v>
      </c>
      <c r="H17" s="89">
        <f>'LCC6'!N$15</f>
        <v>20420</v>
      </c>
      <c r="I17" s="89">
        <f>'LCC6'!S$43</f>
        <v>427110.70064286614</v>
      </c>
      <c r="J17" s="89">
        <f t="shared" si="0"/>
        <v>662150</v>
      </c>
      <c r="K17" s="89">
        <f>'LCC6'!$AC$43</f>
        <v>17103852.267947614</v>
      </c>
      <c r="L17" s="89">
        <f t="shared" si="1"/>
        <v>11904570.23634911</v>
      </c>
      <c r="M17" s="89">
        <f>'LCC6'!T$15</f>
        <v>0</v>
      </c>
      <c r="N17" s="89">
        <f>'LCC6'!U$43</f>
        <v>0</v>
      </c>
      <c r="O17" s="89">
        <f>'LCC6'!W$43</f>
        <v>17278182.267947614</v>
      </c>
      <c r="P17" s="89">
        <f>'LCC6'!X$43</f>
        <v>12078900.236349106</v>
      </c>
      <c r="Q17" s="90" t="s">
        <v>49</v>
      </c>
      <c r="R17" s="90" t="s">
        <v>49</v>
      </c>
      <c r="S17" s="90" t="s">
        <v>49</v>
      </c>
      <c r="T17" s="89">
        <f>'LCC6'!D$43</f>
        <v>174330</v>
      </c>
      <c r="U17" s="89">
        <f>SUM('LCC6'!G$43,'LCC6'!M$43,'LCC6'!S$43,'LCC6'!U$43)</f>
        <v>11904570.23634911</v>
      </c>
      <c r="V17" s="90" t="s">
        <v>49</v>
      </c>
      <c r="W17" s="90" t="s">
        <v>49</v>
      </c>
      <c r="X17" s="98"/>
    </row>
    <row r="18" spans="2:80" x14ac:dyDescent="0.2">
      <c r="B18" s="81" t="str">
        <f>'LCC7'!$B$3</f>
        <v>Alt 7</v>
      </c>
      <c r="C18" s="98" t="str">
        <f ca="1">'LCC7'!B$4&amp;" "&amp;X31</f>
        <v xml:space="preserve">Viracon - VE7-55 - Low-E Azurlite </v>
      </c>
      <c r="D18" s="89">
        <f>'LCC7'!$C$15</f>
        <v>256470</v>
      </c>
      <c r="E18" s="89">
        <f>SUM('LCC7'!$D$43,'LCC7'!$G$43)</f>
        <v>256470</v>
      </c>
      <c r="F18" s="89">
        <f>'LCC7'!H$15</f>
        <v>606010</v>
      </c>
      <c r="G18" s="89">
        <f>'LCC7'!M$43</f>
        <v>10838600.740550291</v>
      </c>
      <c r="H18" s="89">
        <f>'LCC7'!N$15</f>
        <v>20920</v>
      </c>
      <c r="I18" s="89">
        <f>'LCC7'!S$43</f>
        <v>437568.84708368056</v>
      </c>
      <c r="J18" s="89">
        <f t="shared" si="0"/>
        <v>626930</v>
      </c>
      <c r="K18" s="89">
        <f>'LCC7'!$AC$43</f>
        <v>16201986.354224442</v>
      </c>
      <c r="L18" s="89">
        <f t="shared" si="1"/>
        <v>11276169.587633971</v>
      </c>
      <c r="M18" s="89">
        <f>'LCC7'!T$15</f>
        <v>0</v>
      </c>
      <c r="N18" s="89">
        <f>'LCC7'!U$43</f>
        <v>0</v>
      </c>
      <c r="O18" s="89">
        <f>'LCC7'!W$43</f>
        <v>16458456.354224442</v>
      </c>
      <c r="P18" s="89">
        <f>'LCC7'!X$43</f>
        <v>11532639.587633971</v>
      </c>
      <c r="Q18" s="90" t="s">
        <v>49</v>
      </c>
      <c r="R18" s="90" t="s">
        <v>49</v>
      </c>
      <c r="S18" s="90" t="s">
        <v>49</v>
      </c>
      <c r="T18" s="89">
        <f>'LCC7'!D$43</f>
        <v>256470</v>
      </c>
      <c r="U18" s="89">
        <f>SUM('LCC7'!G$43,'LCC7'!M$43,'LCC7'!S$43,'LCC7'!U$43)</f>
        <v>11276169.587633971</v>
      </c>
      <c r="V18" s="90" t="s">
        <v>49</v>
      </c>
      <c r="W18" s="90" t="s">
        <v>49</v>
      </c>
      <c r="X18" s="98"/>
    </row>
    <row r="19" spans="2:80" x14ac:dyDescent="0.2">
      <c r="B19" s="81" t="str">
        <f>'LCC8'!$B$3</f>
        <v>Alt 8</v>
      </c>
      <c r="C19" s="98" t="str">
        <f ca="1">'LCC8'!B$4&amp;" "&amp;X32</f>
        <v xml:space="preserve">Viracon - VE7-85 - Low-E Azurlite </v>
      </c>
      <c r="D19" s="89">
        <f>'LCC8'!$C$15</f>
        <v>245540</v>
      </c>
      <c r="E19" s="89">
        <f>SUM('LCC8'!$D$43,'LCC8'!$G$43)</f>
        <v>245540</v>
      </c>
      <c r="F19" s="89">
        <f>'LCC8'!H$15</f>
        <v>616360</v>
      </c>
      <c r="G19" s="89">
        <f>'LCC8'!M$43</f>
        <v>11023712.401520729</v>
      </c>
      <c r="H19" s="89">
        <f>'LCC8'!N$15</f>
        <v>20420</v>
      </c>
      <c r="I19" s="89">
        <f>'LCC8'!S$43</f>
        <v>427110.70064286614</v>
      </c>
      <c r="J19" s="89">
        <f t="shared" si="0"/>
        <v>636780</v>
      </c>
      <c r="K19" s="89">
        <f>'LCC8'!$AC$43</f>
        <v>16452419.239845304</v>
      </c>
      <c r="L19" s="89">
        <f t="shared" si="1"/>
        <v>11450823.102163596</v>
      </c>
      <c r="M19" s="89">
        <f>'LCC8'!T$15</f>
        <v>0</v>
      </c>
      <c r="N19" s="89">
        <f>'LCC8'!U$43</f>
        <v>0</v>
      </c>
      <c r="O19" s="89">
        <f>'LCC8'!W$43</f>
        <v>16697959.239845304</v>
      </c>
      <c r="P19" s="89">
        <f>'LCC8'!X$43</f>
        <v>11696363.102163594</v>
      </c>
      <c r="Q19" s="90" t="s">
        <v>49</v>
      </c>
      <c r="R19" s="90" t="s">
        <v>49</v>
      </c>
      <c r="S19" s="90" t="s">
        <v>49</v>
      </c>
      <c r="T19" s="89">
        <f>'LCC8'!D$43</f>
        <v>245540</v>
      </c>
      <c r="U19" s="89">
        <f>SUM('LCC8'!G$43,'LCC8'!M$43,'LCC8'!S$43,'LCC8'!U$43)</f>
        <v>11450823.102163596</v>
      </c>
      <c r="V19" s="90" t="s">
        <v>49</v>
      </c>
      <c r="W19" s="90" t="s">
        <v>49</v>
      </c>
      <c r="X19" s="98"/>
    </row>
    <row r="20" spans="2:80" x14ac:dyDescent="0.2">
      <c r="B20" s="81" t="str">
        <f>'LCC9'!$B$3</f>
        <v>Alt 9</v>
      </c>
      <c r="C20" s="98" t="str">
        <f ca="1">'LCC9'!B$4&amp;" "&amp;X33</f>
        <v>PPG - SolarBan 2000 *</v>
      </c>
      <c r="D20" s="89">
        <f>'LCC9'!$C$15</f>
        <v>224660</v>
      </c>
      <c r="E20" s="89">
        <f>SUM('LCC9'!$D$43,'LCC9'!$G$43)</f>
        <v>224660</v>
      </c>
      <c r="F20" s="89">
        <f>'LCC9'!H$15</f>
        <v>606970</v>
      </c>
      <c r="G20" s="89">
        <f>'LCC9'!M$43</f>
        <v>10855770.517799728</v>
      </c>
      <c r="H20" s="89">
        <f>'LCC9'!N$15</f>
        <v>21400</v>
      </c>
      <c r="I20" s="89">
        <f>'LCC9'!S$43</f>
        <v>447608.66766686266</v>
      </c>
      <c r="J20" s="89">
        <f t="shared" si="0"/>
        <v>628370</v>
      </c>
      <c r="K20" s="89">
        <f>'LCC9'!$AC$43</f>
        <v>16241350.613520056</v>
      </c>
      <c r="L20" s="89">
        <f t="shared" si="1"/>
        <v>11303379.185466589</v>
      </c>
      <c r="M20" s="89">
        <f>'LCC9'!T$15</f>
        <v>0</v>
      </c>
      <c r="N20" s="89">
        <f>'LCC9'!U$43</f>
        <v>0</v>
      </c>
      <c r="O20" s="89">
        <f>'LCC9'!W$43</f>
        <v>16466010.613520056</v>
      </c>
      <c r="P20" s="89">
        <f>'LCC9'!X$43</f>
        <v>11528039.185466586</v>
      </c>
      <c r="Q20" s="90" t="s">
        <v>49</v>
      </c>
      <c r="R20" s="90" t="s">
        <v>49</v>
      </c>
      <c r="S20" s="90" t="s">
        <v>49</v>
      </c>
      <c r="T20" s="89">
        <f>'LCC9'!D$43</f>
        <v>224660</v>
      </c>
      <c r="U20" s="89">
        <f>SUM('LCC9'!G$43,'LCC9'!M$43,'LCC9'!S$43,'LCC9'!U$43)</f>
        <v>11303379.185466589</v>
      </c>
      <c r="V20" s="90" t="s">
        <v>49</v>
      </c>
      <c r="W20" s="90" t="s">
        <v>49</v>
      </c>
      <c r="X20" s="98"/>
    </row>
    <row r="21" spans="2:80" x14ac:dyDescent="0.2">
      <c r="B21" s="81"/>
      <c r="C21" s="99" t="s">
        <v>175</v>
      </c>
      <c r="D21" s="89"/>
      <c r="E21" s="89"/>
      <c r="F21" s="89"/>
      <c r="G21" s="89"/>
      <c r="H21" s="89"/>
      <c r="I21" s="89"/>
      <c r="J21" s="89"/>
      <c r="K21" s="89"/>
      <c r="L21" s="89"/>
      <c r="M21" s="89"/>
      <c r="N21" s="89"/>
      <c r="O21" s="89"/>
      <c r="P21" s="89"/>
      <c r="Q21" s="90"/>
      <c r="R21" s="90"/>
      <c r="S21" s="90"/>
      <c r="T21" s="89"/>
      <c r="U21" s="89"/>
      <c r="V21" s="90"/>
      <c r="W21" s="90"/>
      <c r="X21" s="98"/>
      <c r="AA21" s="74" t="str">
        <f>D6</f>
        <v>One-Time Costs</v>
      </c>
      <c r="AC21" s="74" t="str">
        <f>F6</f>
        <v>Electric</v>
      </c>
      <c r="AE21" s="74" t="str">
        <f>H6</f>
        <v>Natural Gas</v>
      </c>
      <c r="AG21" s="74" t="str">
        <f>J6</f>
        <v>Total Utility</v>
      </c>
      <c r="AJ21" s="74" t="str">
        <f>M6</f>
        <v>Maintenance</v>
      </c>
      <c r="AL21" s="74">
        <f>O5</f>
        <v>0</v>
      </c>
      <c r="AM21" s="74">
        <f>P5</f>
        <v>0</v>
      </c>
      <c r="AN21" s="74" t="str">
        <f>Q6</f>
        <v>Net</v>
      </c>
      <c r="AO21" s="74" t="str">
        <f>AA21</f>
        <v>One-Time Costs</v>
      </c>
      <c r="AQ21" s="74" t="str">
        <f>AC21</f>
        <v>Electric</v>
      </c>
      <c r="AS21" s="74" t="str">
        <f>AE21</f>
        <v>Natural Gas</v>
      </c>
      <c r="AU21" s="74" t="str">
        <f>AG21</f>
        <v>Total Utility</v>
      </c>
      <c r="AX21" s="74" t="str">
        <f>AJ21</f>
        <v>Maintenance</v>
      </c>
      <c r="AZ21" s="74">
        <f>AL21</f>
        <v>0</v>
      </c>
      <c r="BA21" s="74">
        <f>AM21</f>
        <v>0</v>
      </c>
      <c r="BB21" s="74" t="str">
        <f>AN21</f>
        <v>Net</v>
      </c>
    </row>
    <row r="22" spans="2:80" ht="12.75" customHeight="1" x14ac:dyDescent="0.2">
      <c r="B22" s="81"/>
      <c r="C22" s="99" t="s">
        <v>176</v>
      </c>
      <c r="D22" s="82"/>
      <c r="E22" s="83"/>
      <c r="F22" s="83"/>
      <c r="G22" s="83"/>
      <c r="H22" s="83"/>
      <c r="I22" s="83"/>
      <c r="J22" s="83"/>
      <c r="K22" s="83"/>
      <c r="L22" s="83"/>
      <c r="M22" s="83"/>
      <c r="N22" s="83"/>
      <c r="O22" s="83"/>
      <c r="P22" s="83"/>
      <c r="Q22" s="83"/>
      <c r="R22" s="83"/>
      <c r="S22" s="83"/>
      <c r="T22" s="83"/>
      <c r="U22" s="83"/>
      <c r="V22" s="82"/>
      <c r="W22" s="83"/>
      <c r="X22" s="98"/>
      <c r="AA22" s="74" t="str">
        <f>D7</f>
        <v>1st year</v>
      </c>
      <c r="AB22" s="74" t="str">
        <f>E7</f>
        <v>LCC</v>
      </c>
      <c r="AC22" s="74" t="str">
        <f>F7</f>
        <v>1st year</v>
      </c>
      <c r="AD22" s="74" t="str">
        <f>G7</f>
        <v>LCC</v>
      </c>
      <c r="AE22" s="74" t="str">
        <f>H7</f>
        <v>1st year</v>
      </c>
      <c r="AF22" s="74" t="str">
        <f>I7</f>
        <v>LCC</v>
      </c>
      <c r="AG22" s="74" t="str">
        <f>J7</f>
        <v>1st year</v>
      </c>
      <c r="AH22" s="74" t="str">
        <f>K7</f>
        <v>Undisc LCC</v>
      </c>
      <c r="AI22" s="74" t="str">
        <f>L7</f>
        <v>LCC</v>
      </c>
      <c r="AJ22" s="74" t="str">
        <f>M7</f>
        <v>1st year</v>
      </c>
      <c r="AK22" s="74" t="str">
        <f t="shared" ref="AK22:AM23" si="2">N7</f>
        <v>LCC</v>
      </c>
      <c r="AL22" s="74" t="str">
        <f t="shared" si="2"/>
        <v>Undisc LCC</v>
      </c>
      <c r="AM22" s="74" t="str">
        <f t="shared" si="2"/>
        <v>LCC</v>
      </c>
      <c r="AN22" s="74" t="str">
        <f>Q7</f>
        <v>Savings</v>
      </c>
      <c r="AO22" s="74" t="str">
        <f>AA22</f>
        <v>1st year</v>
      </c>
      <c r="AP22" s="74" t="str">
        <f>AB22</f>
        <v>LCC</v>
      </c>
      <c r="AQ22" s="74" t="str">
        <f>AC22</f>
        <v>1st year</v>
      </c>
      <c r="AR22" s="74" t="str">
        <f>AD22</f>
        <v>LCC</v>
      </c>
      <c r="AS22" s="74" t="str">
        <f>AE22</f>
        <v>1st year</v>
      </c>
      <c r="AT22" s="74" t="str">
        <f>AF22</f>
        <v>LCC</v>
      </c>
      <c r="AU22" s="74" t="str">
        <f>AG22</f>
        <v>1st year</v>
      </c>
      <c r="AV22" s="74" t="str">
        <f>AH22</f>
        <v>Undisc LCC</v>
      </c>
      <c r="AW22" s="74" t="str">
        <f t="shared" ref="AW22:BB23" si="3">AI22</f>
        <v>LCC</v>
      </c>
      <c r="AX22" s="74" t="str">
        <f t="shared" si="3"/>
        <v>1st year</v>
      </c>
      <c r="AY22" s="74" t="str">
        <f t="shared" si="3"/>
        <v>LCC</v>
      </c>
      <c r="AZ22" s="74" t="str">
        <f t="shared" si="3"/>
        <v>Undisc LCC</v>
      </c>
      <c r="BA22" s="74" t="str">
        <f t="shared" si="3"/>
        <v>LCC</v>
      </c>
      <c r="BB22" s="74" t="str">
        <f t="shared" si="3"/>
        <v>Savings</v>
      </c>
    </row>
    <row r="23" spans="2:80" ht="12.75" customHeight="1" x14ac:dyDescent="0.2">
      <c r="B23" s="81"/>
      <c r="D23" s="82"/>
      <c r="E23" s="83"/>
      <c r="F23" s="83"/>
      <c r="G23" s="83"/>
      <c r="H23" s="83"/>
      <c r="I23" s="83"/>
      <c r="J23" s="83"/>
      <c r="K23" s="83"/>
      <c r="L23" s="83"/>
      <c r="M23" s="83"/>
      <c r="N23" s="83"/>
      <c r="O23" s="83"/>
      <c r="P23" s="83"/>
      <c r="Q23" s="83"/>
      <c r="R23" s="83"/>
      <c r="S23" s="83"/>
      <c r="T23" s="83"/>
      <c r="U23" s="83"/>
      <c r="V23" s="82"/>
      <c r="W23" s="83"/>
      <c r="X23" s="98"/>
      <c r="AA23" s="74" t="str">
        <f>D8</f>
        <v>$</v>
      </c>
      <c r="AB23" s="74" t="str">
        <f>E8</f>
        <v>PV $</v>
      </c>
      <c r="AC23" s="74" t="str">
        <f>F8</f>
        <v>$</v>
      </c>
      <c r="AD23" s="74" t="str">
        <f>G8</f>
        <v>PV $</v>
      </c>
      <c r="AE23" s="74" t="str">
        <f>H8</f>
        <v>$</v>
      </c>
      <c r="AF23" s="74" t="str">
        <f>I8</f>
        <v>PV $</v>
      </c>
      <c r="AG23" s="74" t="str">
        <f>J8</f>
        <v>$</v>
      </c>
      <c r="AH23" s="74" t="str">
        <f>K8</f>
        <v>PV $</v>
      </c>
      <c r="AI23" s="74" t="str">
        <f>L8</f>
        <v>PV $</v>
      </c>
      <c r="AJ23" s="74" t="str">
        <f>M8</f>
        <v>$</v>
      </c>
      <c r="AK23" s="74" t="str">
        <f t="shared" si="2"/>
        <v>PV $</v>
      </c>
      <c r="AL23" s="74" t="str">
        <f t="shared" si="2"/>
        <v>PV $</v>
      </c>
      <c r="AM23" s="74" t="str">
        <f t="shared" si="2"/>
        <v>PV $</v>
      </c>
      <c r="AN23" s="74" t="str">
        <f>Q8</f>
        <v>NS</v>
      </c>
      <c r="AO23" s="74" t="str">
        <f>AA23</f>
        <v>$</v>
      </c>
      <c r="AP23" s="74" t="str">
        <f>AB23</f>
        <v>PV $</v>
      </c>
      <c r="AQ23" s="74" t="str">
        <f>AC23</f>
        <v>$</v>
      </c>
      <c r="AR23" s="74" t="str">
        <f>AD23</f>
        <v>PV $</v>
      </c>
      <c r="AS23" s="74" t="str">
        <f>AE23</f>
        <v>$</v>
      </c>
      <c r="AT23" s="74" t="str">
        <f>AF23</f>
        <v>PV $</v>
      </c>
      <c r="AU23" s="74" t="str">
        <f>AG23</f>
        <v>$</v>
      </c>
      <c r="AV23" s="74" t="str">
        <f>AH23</f>
        <v>PV $</v>
      </c>
      <c r="AW23" s="74" t="str">
        <f t="shared" si="3"/>
        <v>PV $</v>
      </c>
      <c r="AX23" s="74" t="str">
        <f t="shared" si="3"/>
        <v>$</v>
      </c>
      <c r="AY23" s="74" t="str">
        <f t="shared" si="3"/>
        <v>PV $</v>
      </c>
      <c r="AZ23" s="74" t="str">
        <f t="shared" si="3"/>
        <v>PV $</v>
      </c>
      <c r="BA23" s="74" t="str">
        <f t="shared" si="3"/>
        <v>PV $</v>
      </c>
      <c r="BB23" s="74" t="str">
        <f t="shared" si="3"/>
        <v>NS</v>
      </c>
      <c r="BC23" s="341" t="s">
        <v>224</v>
      </c>
    </row>
    <row r="24" spans="2:80" ht="15.75" customHeight="1" thickBot="1" x14ac:dyDescent="0.25">
      <c r="B24" s="97" t="s">
        <v>172</v>
      </c>
      <c r="C24" s="87"/>
      <c r="D24" s="88"/>
      <c r="E24" s="88"/>
      <c r="F24" s="88"/>
      <c r="G24" s="88"/>
      <c r="H24" s="88"/>
      <c r="I24" s="88"/>
      <c r="J24" s="88"/>
      <c r="K24" s="88"/>
      <c r="L24" s="88"/>
      <c r="M24" s="88"/>
      <c r="N24" s="88"/>
      <c r="O24" s="88"/>
      <c r="P24" s="88"/>
      <c r="Q24" s="88"/>
      <c r="R24" s="87"/>
      <c r="S24" s="87"/>
      <c r="T24" s="87"/>
      <c r="U24" s="87"/>
      <c r="V24" s="87"/>
      <c r="W24" s="87"/>
      <c r="X24" s="98"/>
      <c r="AA24" s="74" t="s">
        <v>178</v>
      </c>
      <c r="AB24" s="74" t="s">
        <v>178</v>
      </c>
      <c r="AC24" s="74" t="s">
        <v>178</v>
      </c>
      <c r="AD24" s="74" t="s">
        <v>178</v>
      </c>
      <c r="AE24" s="74" t="s">
        <v>178</v>
      </c>
      <c r="AF24" s="74" t="s">
        <v>178</v>
      </c>
      <c r="AG24" s="74" t="s">
        <v>178</v>
      </c>
      <c r="AH24" s="74" t="s">
        <v>178</v>
      </c>
      <c r="AI24" s="74" t="s">
        <v>178</v>
      </c>
      <c r="AJ24" s="74" t="s">
        <v>178</v>
      </c>
      <c r="AK24" s="74" t="s">
        <v>178</v>
      </c>
      <c r="AL24" s="74" t="s">
        <v>178</v>
      </c>
      <c r="AM24" s="74" t="s">
        <v>178</v>
      </c>
      <c r="AN24" s="74" t="s">
        <v>178</v>
      </c>
      <c r="AO24" s="74" t="s">
        <v>177</v>
      </c>
      <c r="AP24" s="74" t="s">
        <v>177</v>
      </c>
      <c r="AQ24" s="74" t="s">
        <v>177</v>
      </c>
      <c r="AR24" s="74" t="s">
        <v>177</v>
      </c>
      <c r="AS24" s="74" t="s">
        <v>177</v>
      </c>
      <c r="AT24" s="74" t="s">
        <v>177</v>
      </c>
      <c r="AU24" s="74" t="s">
        <v>177</v>
      </c>
      <c r="AV24" s="74" t="s">
        <v>177</v>
      </c>
      <c r="AW24" s="74" t="s">
        <v>177</v>
      </c>
      <c r="AX24" s="74" t="s">
        <v>177</v>
      </c>
      <c r="AY24" s="74" t="s">
        <v>177</v>
      </c>
      <c r="AZ24" s="74" t="s">
        <v>177</v>
      </c>
      <c r="BA24" s="74" t="s">
        <v>177</v>
      </c>
      <c r="BB24" s="74" t="s">
        <v>177</v>
      </c>
      <c r="BC24" s="335">
        <v>0</v>
      </c>
      <c r="BD24" s="336">
        <f t="shared" ref="BD24:CB24" si="4">BC24+1</f>
        <v>1</v>
      </c>
      <c r="BE24" s="336">
        <f t="shared" si="4"/>
        <v>2</v>
      </c>
      <c r="BF24" s="336">
        <f t="shared" si="4"/>
        <v>3</v>
      </c>
      <c r="BG24" s="336">
        <f t="shared" si="4"/>
        <v>4</v>
      </c>
      <c r="BH24" s="336">
        <f t="shared" si="4"/>
        <v>5</v>
      </c>
      <c r="BI24" s="336">
        <f t="shared" si="4"/>
        <v>6</v>
      </c>
      <c r="BJ24" s="336">
        <f t="shared" si="4"/>
        <v>7</v>
      </c>
      <c r="BK24" s="336">
        <f t="shared" si="4"/>
        <v>8</v>
      </c>
      <c r="BL24" s="336">
        <f t="shared" si="4"/>
        <v>9</v>
      </c>
      <c r="BM24" s="336">
        <f t="shared" si="4"/>
        <v>10</v>
      </c>
      <c r="BN24" s="336">
        <f t="shared" si="4"/>
        <v>11</v>
      </c>
      <c r="BO24" s="336">
        <f t="shared" si="4"/>
        <v>12</v>
      </c>
      <c r="BP24" s="336">
        <f t="shared" si="4"/>
        <v>13</v>
      </c>
      <c r="BQ24" s="336">
        <f t="shared" si="4"/>
        <v>14</v>
      </c>
      <c r="BR24" s="336">
        <f t="shared" si="4"/>
        <v>15</v>
      </c>
      <c r="BS24" s="336">
        <f t="shared" si="4"/>
        <v>16</v>
      </c>
      <c r="BT24" s="336">
        <f t="shared" si="4"/>
        <v>17</v>
      </c>
      <c r="BU24" s="336">
        <f t="shared" si="4"/>
        <v>18</v>
      </c>
      <c r="BV24" s="336">
        <f t="shared" si="4"/>
        <v>19</v>
      </c>
      <c r="BW24" s="336">
        <f t="shared" si="4"/>
        <v>20</v>
      </c>
      <c r="BX24" s="336">
        <f t="shared" si="4"/>
        <v>21</v>
      </c>
      <c r="BY24" s="336">
        <f t="shared" si="4"/>
        <v>22</v>
      </c>
      <c r="BZ24" s="336">
        <f t="shared" si="4"/>
        <v>23</v>
      </c>
      <c r="CA24" s="336">
        <f t="shared" si="4"/>
        <v>24</v>
      </c>
      <c r="CB24" s="337">
        <f t="shared" si="4"/>
        <v>25</v>
      </c>
    </row>
    <row r="25" spans="2:80" x14ac:dyDescent="0.2">
      <c r="B25" s="81" t="str">
        <f t="shared" ref="B25:C33" si="5">B12</f>
        <v>Alt 1</v>
      </c>
      <c r="C25" s="98" t="str">
        <f t="shared" ca="1" si="5"/>
        <v>Single Pane Azurlite **</v>
      </c>
      <c r="D25" s="91">
        <f>D$11-D12</f>
        <v>-20580</v>
      </c>
      <c r="E25" s="91">
        <f t="shared" ref="E25:P33" si="6">E$11-E12</f>
        <v>-20580</v>
      </c>
      <c r="F25" s="91">
        <f t="shared" si="6"/>
        <v>26310</v>
      </c>
      <c r="G25" s="91">
        <f t="shared" si="6"/>
        <v>470559.20774224959</v>
      </c>
      <c r="H25" s="91">
        <f t="shared" si="6"/>
        <v>-60</v>
      </c>
      <c r="I25" s="91">
        <f t="shared" si="6"/>
        <v>-1254.9775728974491</v>
      </c>
      <c r="J25" s="91">
        <f t="shared" si="6"/>
        <v>26250</v>
      </c>
      <c r="K25" s="91">
        <f>K$11-K12</f>
        <v>673730.43064457551</v>
      </c>
      <c r="L25" s="91">
        <f t="shared" si="6"/>
        <v>469304.23016935214</v>
      </c>
      <c r="M25" s="91">
        <f t="shared" si="6"/>
        <v>0</v>
      </c>
      <c r="N25" s="91">
        <f t="shared" si="6"/>
        <v>0</v>
      </c>
      <c r="O25" s="91">
        <f t="shared" ref="O25:O33" si="7">O$11-O12</f>
        <v>653150.43064457551</v>
      </c>
      <c r="P25" s="91">
        <f t="shared" si="6"/>
        <v>448724.23016935401</v>
      </c>
      <c r="Q25" s="91">
        <f>P$11-P12</f>
        <v>448724.23016935401</v>
      </c>
      <c r="R25" s="92">
        <f>IF(-(D25/SUM(F25,H25))&gt;0,-(D25/SUM(F25,H25)),"n/a")</f>
        <v>0.78400000000000003</v>
      </c>
      <c r="S25" s="92">
        <f>'LCC1'!AA43</f>
        <v>0.78566152395690869</v>
      </c>
      <c r="T25" s="89">
        <f>T12-T$11</f>
        <v>20580</v>
      </c>
      <c r="U25" s="89">
        <f t="shared" ref="U25:U33" si="8">U$11-U12</f>
        <v>469304.23016935214</v>
      </c>
      <c r="V25" s="93">
        <f>U25/T25</f>
        <v>22.803898453321288</v>
      </c>
      <c r="W25" s="94">
        <f>((1+'General Data'!$H$15)*(V25^(1/'General Data'!$H$18)))-1</f>
        <v>0.16723308388991365</v>
      </c>
      <c r="X25" s="6" t="str">
        <f ca="1">Y25&amp;Z25</f>
        <v>**</v>
      </c>
      <c r="Y25" s="101" t="str">
        <f t="shared" ref="Y25:Y33" ca="1" si="9">IF(MAX(vis(P$24:P$34))=P25,"*","")</f>
        <v/>
      </c>
      <c r="Z25" s="74" t="str">
        <f t="shared" ref="Z25:Z33" ca="1" si="10">IF(MIN(vis(R$24:R$34))=R25,"**","")</f>
        <v>**</v>
      </c>
      <c r="AA25" s="102">
        <f t="shared" ref="AA25:AN25" ca="1" si="11">IF($Z25="**",D25,"")</f>
        <v>-20580</v>
      </c>
      <c r="AB25" s="102">
        <f t="shared" ca="1" si="11"/>
        <v>-20580</v>
      </c>
      <c r="AC25" s="102">
        <f t="shared" ca="1" si="11"/>
        <v>26310</v>
      </c>
      <c r="AD25" s="102">
        <f t="shared" ca="1" si="11"/>
        <v>470559.20774224959</v>
      </c>
      <c r="AE25" s="102">
        <f t="shared" ca="1" si="11"/>
        <v>-60</v>
      </c>
      <c r="AF25" s="102">
        <f t="shared" ca="1" si="11"/>
        <v>-1254.9775728974491</v>
      </c>
      <c r="AG25" s="102">
        <f t="shared" ca="1" si="11"/>
        <v>26250</v>
      </c>
      <c r="AH25" s="102">
        <f t="shared" ca="1" si="11"/>
        <v>673730.43064457551</v>
      </c>
      <c r="AI25" s="102">
        <f t="shared" ca="1" si="11"/>
        <v>469304.23016935214</v>
      </c>
      <c r="AJ25" s="102">
        <f t="shared" ca="1" si="11"/>
        <v>0</v>
      </c>
      <c r="AK25" s="102">
        <f t="shared" ca="1" si="11"/>
        <v>0</v>
      </c>
      <c r="AL25" s="102">
        <f t="shared" ca="1" si="11"/>
        <v>653150.43064457551</v>
      </c>
      <c r="AM25" s="102">
        <f t="shared" ca="1" si="11"/>
        <v>448724.23016935401</v>
      </c>
      <c r="AN25" s="102">
        <f t="shared" ca="1" si="11"/>
        <v>448724.23016935401</v>
      </c>
      <c r="AO25" s="102" t="str">
        <f t="shared" ref="AO25:AO32" ca="1" si="12">IF($Y25="*",D25,"")</f>
        <v/>
      </c>
      <c r="AP25" s="102" t="str">
        <f t="shared" ref="AP25:AP32" ca="1" si="13">IF($Y25="*",E25,"")</f>
        <v/>
      </c>
      <c r="AQ25" s="102" t="str">
        <f t="shared" ref="AQ25:AQ32" ca="1" si="14">IF($Y25="*",F25,"")</f>
        <v/>
      </c>
      <c r="AR25" s="102" t="str">
        <f t="shared" ref="AR25:AR32" ca="1" si="15">IF($Y25="*",G25,"")</f>
        <v/>
      </c>
      <c r="AS25" s="102" t="str">
        <f t="shared" ref="AS25:AS32" ca="1" si="16">IF($Y25="*",H25,"")</f>
        <v/>
      </c>
      <c r="AT25" s="102" t="str">
        <f t="shared" ref="AT25:AT32" ca="1" si="17">IF($Y25="*",I25,"")</f>
        <v/>
      </c>
      <c r="AU25" s="102" t="str">
        <f t="shared" ref="AU25:AU32" ca="1" si="18">IF($Y25="*",J25,"")</f>
        <v/>
      </c>
      <c r="AV25" s="102" t="str">
        <f t="shared" ref="AV25:AV32" ca="1" si="19">IF($Y25="*",K25,"")</f>
        <v/>
      </c>
      <c r="AW25" s="102" t="str">
        <f t="shared" ref="AW25:AW32" ca="1" si="20">IF($Y25="*",L25,"")</f>
        <v/>
      </c>
      <c r="AX25" s="102" t="str">
        <f t="shared" ref="AX25:AX32" ca="1" si="21">IF($Y25="*",M25,"")</f>
        <v/>
      </c>
      <c r="AY25" s="102" t="str">
        <f t="shared" ref="AY25:AY32" ca="1" si="22">IF($Y25="*",N25,"")</f>
        <v/>
      </c>
      <c r="AZ25" s="102" t="str">
        <f t="shared" ref="AZ25:AZ32" ca="1" si="23">IF($Y25="*",O25,"")</f>
        <v/>
      </c>
      <c r="BA25" s="102" t="str">
        <f t="shared" ref="BA25:BA32" ca="1" si="24">IF($Y25="*",P25,"")</f>
        <v/>
      </c>
      <c r="BB25" s="102" t="str">
        <f t="shared" ref="BB25:BB32" ca="1" si="25">IF($Y25="*",Q25,"")</f>
        <v/>
      </c>
      <c r="BC25" s="338">
        <f>'LCC1'!$Z$15</f>
        <v>-20580</v>
      </c>
      <c r="BD25" s="339">
        <f>'LCC1'!$Z$16</f>
        <v>5614.4862672551535</v>
      </c>
      <c r="BE25" s="339">
        <f>'LCC1'!$Z$17</f>
        <v>31398.342317342293</v>
      </c>
      <c r="BF25" s="339">
        <f>'LCC1'!$Z$18</f>
        <v>56165.183734286577</v>
      </c>
      <c r="BG25" s="339">
        <f>'LCC1'!$Z$19</f>
        <v>80016.769916324876</v>
      </c>
      <c r="BH25" s="339">
        <f>'LCC1'!$Z$20</f>
        <v>103185.41751741245</v>
      </c>
      <c r="BI25" s="339">
        <f>'LCC1'!$Z$21</f>
        <v>125760.75887634326</v>
      </c>
      <c r="BJ25" s="339">
        <f>'LCC1'!$Z$22</f>
        <v>147717.94108360447</v>
      </c>
      <c r="BK25" s="339">
        <f>'LCC1'!$Z$23</f>
        <v>168988.72724184114</v>
      </c>
      <c r="BL25" s="339">
        <f>'LCC1'!$Z$24</f>
        <v>189588.46996350773</v>
      </c>
      <c r="BM25" s="339">
        <f>'LCC1'!$Z$25</f>
        <v>209630.58636360709</v>
      </c>
      <c r="BN25" s="339">
        <f>'LCC1'!$Z$26</f>
        <v>229165.849248101</v>
      </c>
      <c r="BO25" s="339">
        <f>'LCC1'!$Z$27</f>
        <v>248160.97328015044</v>
      </c>
      <c r="BP25" s="339">
        <f>'LCC1'!$Z$28</f>
        <v>266524.01086463407</v>
      </c>
      <c r="BQ25" s="339">
        <f>'LCC1'!$Z$29</f>
        <v>284226.10390469618</v>
      </c>
      <c r="BR25" s="339">
        <f>'LCC1'!$Z$30</f>
        <v>301364.48121249396</v>
      </c>
      <c r="BS25" s="339">
        <f>'LCC1'!$Z$31</f>
        <v>317982.59557584673</v>
      </c>
      <c r="BT25" s="339">
        <f>'LCC1'!$Z$32</f>
        <v>334115.95135994069</v>
      </c>
      <c r="BU25" s="339">
        <f>'LCC1'!$Z$33</f>
        <v>349812.96690155566</v>
      </c>
      <c r="BV25" s="339">
        <f>'LCC1'!$Z$34</f>
        <v>365071.19906690344</v>
      </c>
      <c r="BW25" s="339">
        <f>'LCC1'!$Z$35</f>
        <v>379916.466302488</v>
      </c>
      <c r="BX25" s="339">
        <f>'LCC1'!$Z$36</f>
        <v>394368.81213660538</v>
      </c>
      <c r="BY25" s="339">
        <f>'LCC1'!$Z$37</f>
        <v>408464.82739683241</v>
      </c>
      <c r="BZ25" s="339">
        <f>'LCC1'!$Z$38</f>
        <v>422216.87576013245</v>
      </c>
      <c r="CA25" s="339">
        <f>'LCC1'!$Z$39</f>
        <v>435632.70358377881</v>
      </c>
      <c r="CB25" s="340">
        <f>'LCC1'!$Z$40</f>
        <v>448724.23016935401</v>
      </c>
    </row>
    <row r="26" spans="2:80" x14ac:dyDescent="0.2">
      <c r="B26" s="81" t="str">
        <f t="shared" si="5"/>
        <v>Alt 2</v>
      </c>
      <c r="C26" s="98" t="str">
        <f t="shared" ca="1" si="5"/>
        <v xml:space="preserve">Calif Series - Water White Crystal </v>
      </c>
      <c r="D26" s="91">
        <f t="shared" ref="D26:D33" si="26">D$11-D13</f>
        <v>-427740</v>
      </c>
      <c r="E26" s="91">
        <f t="shared" si="6"/>
        <v>-427740</v>
      </c>
      <c r="F26" s="91">
        <f t="shared" si="6"/>
        <v>36210</v>
      </c>
      <c r="G26" s="91">
        <f t="shared" si="6"/>
        <v>647622.53562701307</v>
      </c>
      <c r="H26" s="91">
        <f t="shared" si="6"/>
        <v>-300</v>
      </c>
      <c r="I26" s="91">
        <f t="shared" si="6"/>
        <v>-6274.8878644886427</v>
      </c>
      <c r="J26" s="91">
        <f t="shared" si="6"/>
        <v>35910</v>
      </c>
      <c r="K26" s="91">
        <f t="shared" si="6"/>
        <v>920578.64517106861</v>
      </c>
      <c r="L26" s="91">
        <f t="shared" si="6"/>
        <v>641347.64776252396</v>
      </c>
      <c r="M26" s="91">
        <f t="shared" si="6"/>
        <v>0</v>
      </c>
      <c r="N26" s="91">
        <f t="shared" si="6"/>
        <v>0</v>
      </c>
      <c r="O26" s="91">
        <f t="shared" si="7"/>
        <v>492838.64517106861</v>
      </c>
      <c r="P26" s="91">
        <f t="shared" si="6"/>
        <v>213607.64776252396</v>
      </c>
      <c r="Q26" s="91">
        <f t="shared" ref="Q26:Q33" si="27">P$11-P13</f>
        <v>213607.64776252396</v>
      </c>
      <c r="R26" s="92">
        <f t="shared" ref="R26:R33" si="28">IF(-(D26/SUM(F26,H26))&gt;0,-(D26/SUM(F26,H26)),"n/a")</f>
        <v>11.911445279866333</v>
      </c>
      <c r="S26" s="92">
        <f>'LCC2'!AA43</f>
        <v>14.471054244669748</v>
      </c>
      <c r="T26" s="89">
        <f t="shared" ref="T26:T33" si="29">T13-T$11</f>
        <v>427740</v>
      </c>
      <c r="U26" s="89">
        <f t="shared" si="8"/>
        <v>641347.64776252396</v>
      </c>
      <c r="V26" s="93">
        <f t="shared" ref="V26:V33" si="30">U26/T26</f>
        <v>1.4993866548897086</v>
      </c>
      <c r="W26" s="94">
        <f>((1+'General Data'!$H$15)*(V26^(1/'General Data'!$H$18)))-1</f>
        <v>4.6824239643918464E-2</v>
      </c>
      <c r="X26" s="6" t="str">
        <f t="shared" ref="X26:X33" ca="1" si="31">Y26&amp;Z26</f>
        <v/>
      </c>
      <c r="Y26" s="101" t="str">
        <f t="shared" ca="1" si="9"/>
        <v/>
      </c>
      <c r="Z26" s="74" t="str">
        <f t="shared" ca="1" si="10"/>
        <v/>
      </c>
      <c r="AA26" s="102" t="str">
        <f t="shared" ref="AA26:AA33" ca="1" si="32">IF($Z26="**",D26,"")</f>
        <v/>
      </c>
      <c r="AB26" s="102" t="str">
        <f t="shared" ref="AB26:AB33" ca="1" si="33">IF($Z26="**",E26,"")</f>
        <v/>
      </c>
      <c r="AC26" s="102" t="str">
        <f t="shared" ref="AC26:AC33" ca="1" si="34">IF($Z26="**",F26,"")</f>
        <v/>
      </c>
      <c r="AD26" s="102" t="str">
        <f t="shared" ref="AD26:AD33" ca="1" si="35">IF($Z26="**",G26,"")</f>
        <v/>
      </c>
      <c r="AE26" s="102" t="str">
        <f t="shared" ref="AE26:AE33" ca="1" si="36">IF($Z26="**",H26,"")</f>
        <v/>
      </c>
      <c r="AF26" s="102" t="str">
        <f t="shared" ref="AF26:AF33" ca="1" si="37">IF($Z26="**",I26,"")</f>
        <v/>
      </c>
      <c r="AG26" s="102" t="str">
        <f t="shared" ref="AG26:AG33" ca="1" si="38">IF($Z26="**",J26,"")</f>
        <v/>
      </c>
      <c r="AH26" s="102" t="str">
        <f t="shared" ref="AH26:AH33" ca="1" si="39">IF($Z26="**",K26,"")</f>
        <v/>
      </c>
      <c r="AI26" s="102" t="str">
        <f t="shared" ref="AI26:AI33" ca="1" si="40">IF($Z26="**",L26,"")</f>
        <v/>
      </c>
      <c r="AJ26" s="102" t="str">
        <f t="shared" ref="AJ26:AJ33" ca="1" si="41">IF($Z26="**",M26,"")</f>
        <v/>
      </c>
      <c r="AK26" s="102" t="str">
        <f t="shared" ref="AK26:AK33" ca="1" si="42">IF($Z26="**",N26,"")</f>
        <v/>
      </c>
      <c r="AL26" s="102" t="str">
        <f t="shared" ref="AL26:AL33" ca="1" si="43">IF($Z26="**",O26,"")</f>
        <v/>
      </c>
      <c r="AM26" s="102" t="str">
        <f t="shared" ref="AM26:AM33" ca="1" si="44">IF($Z26="**",P26,"")</f>
        <v/>
      </c>
      <c r="AN26" s="102" t="str">
        <f t="shared" ref="AN26:AN33" ca="1" si="45">IF($Z26="**",Q26,"")</f>
        <v/>
      </c>
      <c r="AO26" s="102" t="str">
        <f t="shared" ca="1" si="12"/>
        <v/>
      </c>
      <c r="AP26" s="102" t="str">
        <f t="shared" ca="1" si="13"/>
        <v/>
      </c>
      <c r="AQ26" s="102" t="str">
        <f t="shared" ca="1" si="14"/>
        <v/>
      </c>
      <c r="AR26" s="102" t="str">
        <f t="shared" ca="1" si="15"/>
        <v/>
      </c>
      <c r="AS26" s="102" t="str">
        <f t="shared" ca="1" si="16"/>
        <v/>
      </c>
      <c r="AT26" s="102" t="str">
        <f t="shared" ca="1" si="17"/>
        <v/>
      </c>
      <c r="AU26" s="102" t="str">
        <f t="shared" ca="1" si="18"/>
        <v/>
      </c>
      <c r="AV26" s="102" t="str">
        <f t="shared" ca="1" si="19"/>
        <v/>
      </c>
      <c r="AW26" s="102" t="str">
        <f t="shared" ca="1" si="20"/>
        <v/>
      </c>
      <c r="AX26" s="102" t="str">
        <f t="shared" ca="1" si="21"/>
        <v/>
      </c>
      <c r="AY26" s="102" t="str">
        <f t="shared" ca="1" si="22"/>
        <v/>
      </c>
      <c r="AZ26" s="102" t="str">
        <f t="shared" ca="1" si="23"/>
        <v/>
      </c>
      <c r="BA26" s="102" t="str">
        <f t="shared" ca="1" si="24"/>
        <v/>
      </c>
      <c r="BB26" s="102" t="str">
        <f t="shared" ca="1" si="25"/>
        <v/>
      </c>
      <c r="BC26" s="338">
        <f>'LCC2'!$Z$15</f>
        <v>-427740</v>
      </c>
      <c r="BD26" s="339">
        <f>'LCC2'!$Z$16</f>
        <v>-391902.68474246154</v>
      </c>
      <c r="BE26" s="339">
        <f>'LCC2'!$Z$17</f>
        <v>-356624.51915053045</v>
      </c>
      <c r="BF26" s="339">
        <f>'LCC2'!$Z$18</f>
        <v>-322739.77936796122</v>
      </c>
      <c r="BG26" s="339">
        <f>'LCC2'!$Z$19</f>
        <v>-290116.0013864995</v>
      </c>
      <c r="BH26" s="339">
        <f>'LCC2'!$Z$20</f>
        <v>-258435.52776117856</v>
      </c>
      <c r="BI26" s="339">
        <f>'LCC2'!$Z$21</f>
        <v>-227572.78421307169</v>
      </c>
      <c r="BJ26" s="339">
        <f>'LCC2'!$Z$22</f>
        <v>-197558.94502694532</v>
      </c>
      <c r="BK26" s="339">
        <f>'LCC2'!$Z$23</f>
        <v>-168487.27595068049</v>
      </c>
      <c r="BL26" s="339">
        <f>'LCC2'!$Z$24</f>
        <v>-140335.30549762584</v>
      </c>
      <c r="BM26" s="339">
        <f>'LCC2'!$Z$25</f>
        <v>-112948.26688651275</v>
      </c>
      <c r="BN26" s="339">
        <f>'LCC2'!$Z$26</f>
        <v>-86257.144659704529</v>
      </c>
      <c r="BO26" s="339">
        <f>'LCC2'!$Z$27</f>
        <v>-60304.759224740788</v>
      </c>
      <c r="BP26" s="339">
        <f>'LCC2'!$Z$28</f>
        <v>-35215.427619773895</v>
      </c>
      <c r="BQ26" s="339">
        <f>'LCC2'!$Z$29</f>
        <v>-11029.591479460709</v>
      </c>
      <c r="BR26" s="339">
        <f>'LCC2'!$Z$30</f>
        <v>12385.103546148166</v>
      </c>
      <c r="BS26" s="339">
        <f>'LCC2'!$Z$31</f>
        <v>35087.422399066389</v>
      </c>
      <c r="BT26" s="339">
        <f>'LCC2'!$Z$32</f>
        <v>57124.829509973526</v>
      </c>
      <c r="BU26" s="339">
        <f>'LCC2'!$Z$33</f>
        <v>78564.405703181401</v>
      </c>
      <c r="BV26" s="339">
        <f>'LCC2'!$Z$34</f>
        <v>99402.912459224463</v>
      </c>
      <c r="BW26" s="339">
        <f>'LCC2'!$Z$35</f>
        <v>119675.04465541244</v>
      </c>
      <c r="BX26" s="339">
        <f>'LCC2'!$Z$36</f>
        <v>139408.40909755975</v>
      </c>
      <c r="BY26" s="339">
        <f>'LCC2'!$Z$37</f>
        <v>158654.40570107661</v>
      </c>
      <c r="BZ26" s="339">
        <f>'LCC2'!$Z$38</f>
        <v>177428.76577629521</v>
      </c>
      <c r="CA26" s="339">
        <f>'LCC2'!$Z$39</f>
        <v>195740.97427954152</v>
      </c>
      <c r="CB26" s="340">
        <f>'LCC2'!$Z$40</f>
        <v>213607.64776252396</v>
      </c>
    </row>
    <row r="27" spans="2:80" x14ac:dyDescent="0.2">
      <c r="B27" s="81" t="str">
        <f t="shared" si="5"/>
        <v>Alt 3</v>
      </c>
      <c r="C27" s="98" t="str">
        <f t="shared" ca="1" si="5"/>
        <v xml:space="preserve">Calif Series - Sea Foam Low-E Clear </v>
      </c>
      <c r="D27" s="91">
        <f t="shared" si="26"/>
        <v>-329460</v>
      </c>
      <c r="E27" s="91">
        <f t="shared" si="6"/>
        <v>-329460</v>
      </c>
      <c r="F27" s="91">
        <f t="shared" si="6"/>
        <v>40930</v>
      </c>
      <c r="G27" s="91">
        <f t="shared" si="6"/>
        <v>732040.60710338689</v>
      </c>
      <c r="H27" s="91">
        <f t="shared" si="6"/>
        <v>1480</v>
      </c>
      <c r="I27" s="91">
        <f t="shared" si="6"/>
        <v>30956.113464811235</v>
      </c>
      <c r="J27" s="91">
        <f t="shared" si="6"/>
        <v>42410</v>
      </c>
      <c r="K27" s="91">
        <f t="shared" si="6"/>
        <v>1096340.1047258265</v>
      </c>
      <c r="L27" s="91">
        <f t="shared" si="6"/>
        <v>762996.72056819685</v>
      </c>
      <c r="M27" s="91">
        <f t="shared" si="6"/>
        <v>0</v>
      </c>
      <c r="N27" s="91">
        <f t="shared" si="6"/>
        <v>0</v>
      </c>
      <c r="O27" s="91">
        <f t="shared" si="7"/>
        <v>766880.10472582653</v>
      </c>
      <c r="P27" s="91">
        <f t="shared" si="6"/>
        <v>433536.7205682043</v>
      </c>
      <c r="Q27" s="91">
        <f t="shared" si="27"/>
        <v>433536.7205682043</v>
      </c>
      <c r="R27" s="92">
        <f t="shared" si="28"/>
        <v>7.7684508370667293</v>
      </c>
      <c r="S27" s="92">
        <f>'LCC3'!AA43</f>
        <v>8.6757711145999323</v>
      </c>
      <c r="T27" s="89">
        <f t="shared" si="29"/>
        <v>329460</v>
      </c>
      <c r="U27" s="89">
        <f t="shared" si="8"/>
        <v>762996.72056819685</v>
      </c>
      <c r="V27" s="93">
        <f t="shared" si="30"/>
        <v>2.3159009305172003</v>
      </c>
      <c r="W27" s="94">
        <f>((1+'General Data'!$H$15)*(V27^(1/'General Data'!$H$18)))-1</f>
        <v>6.5187407909699235E-2</v>
      </c>
      <c r="X27" s="6" t="str">
        <f t="shared" ca="1" si="31"/>
        <v/>
      </c>
      <c r="Y27" s="101" t="str">
        <f t="shared" ca="1" si="9"/>
        <v/>
      </c>
      <c r="Z27" s="74" t="str">
        <f t="shared" ca="1" si="10"/>
        <v/>
      </c>
      <c r="AA27" s="102" t="str">
        <f t="shared" ca="1" si="32"/>
        <v/>
      </c>
      <c r="AB27" s="102" t="str">
        <f t="shared" ca="1" si="33"/>
        <v/>
      </c>
      <c r="AC27" s="102" t="str">
        <f t="shared" ca="1" si="34"/>
        <v/>
      </c>
      <c r="AD27" s="102" t="str">
        <f t="shared" ca="1" si="35"/>
        <v/>
      </c>
      <c r="AE27" s="102" t="str">
        <f t="shared" ca="1" si="36"/>
        <v/>
      </c>
      <c r="AF27" s="102" t="str">
        <f t="shared" ca="1" si="37"/>
        <v/>
      </c>
      <c r="AG27" s="102" t="str">
        <f t="shared" ca="1" si="38"/>
        <v/>
      </c>
      <c r="AH27" s="102" t="str">
        <f t="shared" ca="1" si="39"/>
        <v/>
      </c>
      <c r="AI27" s="102" t="str">
        <f t="shared" ca="1" si="40"/>
        <v/>
      </c>
      <c r="AJ27" s="102" t="str">
        <f t="shared" ca="1" si="41"/>
        <v/>
      </c>
      <c r="AK27" s="102" t="str">
        <f t="shared" ca="1" si="42"/>
        <v/>
      </c>
      <c r="AL27" s="102" t="str">
        <f t="shared" ca="1" si="43"/>
        <v/>
      </c>
      <c r="AM27" s="102" t="str">
        <f t="shared" ca="1" si="44"/>
        <v/>
      </c>
      <c r="AN27" s="102" t="str">
        <f t="shared" ca="1" si="45"/>
        <v/>
      </c>
      <c r="AO27" s="102" t="str">
        <f t="shared" ca="1" si="12"/>
        <v/>
      </c>
      <c r="AP27" s="102" t="str">
        <f t="shared" ca="1" si="13"/>
        <v/>
      </c>
      <c r="AQ27" s="102" t="str">
        <f t="shared" ca="1" si="14"/>
        <v/>
      </c>
      <c r="AR27" s="102" t="str">
        <f t="shared" ca="1" si="15"/>
        <v/>
      </c>
      <c r="AS27" s="102" t="str">
        <f t="shared" ca="1" si="16"/>
        <v/>
      </c>
      <c r="AT27" s="102" t="str">
        <f t="shared" ca="1" si="17"/>
        <v/>
      </c>
      <c r="AU27" s="102" t="str">
        <f t="shared" ca="1" si="18"/>
        <v/>
      </c>
      <c r="AV27" s="102" t="str">
        <f t="shared" ca="1" si="19"/>
        <v/>
      </c>
      <c r="AW27" s="102" t="str">
        <f t="shared" ca="1" si="20"/>
        <v/>
      </c>
      <c r="AX27" s="102" t="str">
        <f t="shared" ca="1" si="21"/>
        <v/>
      </c>
      <c r="AY27" s="102" t="str">
        <f t="shared" ca="1" si="22"/>
        <v/>
      </c>
      <c r="AZ27" s="102" t="str">
        <f t="shared" ca="1" si="23"/>
        <v/>
      </c>
      <c r="BA27" s="102" t="str">
        <f t="shared" ca="1" si="24"/>
        <v/>
      </c>
      <c r="BB27" s="102" t="str">
        <f t="shared" ca="1" si="25"/>
        <v/>
      </c>
      <c r="BC27" s="338">
        <f>'LCC3'!$Z$15</f>
        <v>-329460</v>
      </c>
      <c r="BD27" s="339">
        <f>'LCC3'!$Z$16</f>
        <v>-287163.26526691625</v>
      </c>
      <c r="BE27" s="339">
        <f>'LCC3'!$Z$17</f>
        <v>-245548.71246706555</v>
      </c>
      <c r="BF27" s="339">
        <f>'LCC3'!$Z$18</f>
        <v>-205561.71131989243</v>
      </c>
      <c r="BG27" s="339">
        <f>'LCC3'!$Z$19</f>
        <v>-166989.06404659105</v>
      </c>
      <c r="BH27" s="339">
        <f>'LCC3'!$Z$20</f>
        <v>-129454.33741499158</v>
      </c>
      <c r="BI27" s="339">
        <f>'LCC3'!$Z$21</f>
        <v>-92834.119219056796</v>
      </c>
      <c r="BJ27" s="339">
        <f>'LCC3'!$Z$22</f>
        <v>-57189.001223491505</v>
      </c>
      <c r="BK27" s="339">
        <f>'LCC3'!$Z$23</f>
        <v>-22629.824008359574</v>
      </c>
      <c r="BL27" s="339">
        <f>'LCC3'!$Z$24</f>
        <v>10857.585440558381</v>
      </c>
      <c r="BM27" s="339">
        <f>'LCC3'!$Z$25</f>
        <v>43459.272448400036</v>
      </c>
      <c r="BN27" s="339">
        <f>'LCC3'!$Z$26</f>
        <v>75260.463102762587</v>
      </c>
      <c r="BO27" s="339">
        <f>'LCC3'!$Z$27</f>
        <v>106187.74211124144</v>
      </c>
      <c r="BP27" s="339">
        <f>'LCC3'!$Z$28</f>
        <v>136081.93954978418</v>
      </c>
      <c r="BQ27" s="339">
        <f>'LCC3'!$Z$29</f>
        <v>164903.40578229912</v>
      </c>
      <c r="BR27" s="339">
        <f>'LCC3'!$Z$30</f>
        <v>192813.96289055515</v>
      </c>
      <c r="BS27" s="339">
        <f>'LCC3'!$Z$31</f>
        <v>219888.7236594148</v>
      </c>
      <c r="BT27" s="339">
        <f>'LCC3'!$Z$32</f>
        <v>246193.04965653643</v>
      </c>
      <c r="BU27" s="339">
        <f>'LCC3'!$Z$33</f>
        <v>271799.05511693843</v>
      </c>
      <c r="BV27" s="339">
        <f>'LCC3'!$Z$34</f>
        <v>296702.04255161062</v>
      </c>
      <c r="BW27" s="339">
        <f>'LCC3'!$Z$35</f>
        <v>320948.24567485228</v>
      </c>
      <c r="BX27" s="339">
        <f>'LCC3'!$Z$36</f>
        <v>344568.69212739542</v>
      </c>
      <c r="BY27" s="339">
        <f>'LCC3'!$Z$37</f>
        <v>367612.77558032237</v>
      </c>
      <c r="BZ27" s="339">
        <f>'LCC3'!$Z$38</f>
        <v>390109.02579207532</v>
      </c>
      <c r="CA27" s="339">
        <f>'LCC3'!$Z$39</f>
        <v>412078.0051413402</v>
      </c>
      <c r="CB27" s="340">
        <f>'LCC3'!$Z$40</f>
        <v>433536.7205682043</v>
      </c>
    </row>
    <row r="28" spans="2:80" x14ac:dyDescent="0.2">
      <c r="B28" s="81" t="str">
        <f t="shared" si="5"/>
        <v>Alt 4</v>
      </c>
      <c r="C28" s="98" t="str">
        <f t="shared" ca="1" si="5"/>
        <v xml:space="preserve">Calif Series - Tahoe Blue </v>
      </c>
      <c r="D28" s="91">
        <f t="shared" si="26"/>
        <v>-277980</v>
      </c>
      <c r="E28" s="91">
        <f t="shared" si="6"/>
        <v>-277980</v>
      </c>
      <c r="F28" s="91">
        <f t="shared" si="6"/>
        <v>43350</v>
      </c>
      <c r="G28" s="91">
        <f t="shared" si="6"/>
        <v>775322.75391966291</v>
      </c>
      <c r="H28" s="91">
        <f t="shared" si="6"/>
        <v>-860</v>
      </c>
      <c r="I28" s="91">
        <f t="shared" si="6"/>
        <v>-17988.011878200923</v>
      </c>
      <c r="J28" s="91">
        <f t="shared" si="6"/>
        <v>42490</v>
      </c>
      <c r="K28" s="91">
        <f t="shared" si="6"/>
        <v>1086748.1502587255</v>
      </c>
      <c r="L28" s="91">
        <f t="shared" si="6"/>
        <v>757334.74204146117</v>
      </c>
      <c r="M28" s="91">
        <f t="shared" si="6"/>
        <v>0</v>
      </c>
      <c r="N28" s="91">
        <f t="shared" si="6"/>
        <v>0</v>
      </c>
      <c r="O28" s="91">
        <f t="shared" si="7"/>
        <v>808768.15025872365</v>
      </c>
      <c r="P28" s="91">
        <f t="shared" si="6"/>
        <v>479354.7420414649</v>
      </c>
      <c r="Q28" s="91">
        <f t="shared" si="27"/>
        <v>479354.7420414649</v>
      </c>
      <c r="R28" s="92">
        <f t="shared" si="28"/>
        <v>6.5422452341727464</v>
      </c>
      <c r="S28" s="92">
        <f>'LCC4'!AA43</f>
        <v>7.1671282987519911</v>
      </c>
      <c r="T28" s="89">
        <f t="shared" si="29"/>
        <v>277980</v>
      </c>
      <c r="U28" s="89">
        <f t="shared" si="8"/>
        <v>757334.74204146117</v>
      </c>
      <c r="V28" s="93">
        <f t="shared" si="30"/>
        <v>2.724421692357224</v>
      </c>
      <c r="W28" s="94">
        <f>((1+'General Data'!$H$15)*(V28^(1/'General Data'!$H$18)))-1</f>
        <v>7.213185006145717E-2</v>
      </c>
      <c r="X28" s="6" t="str">
        <f t="shared" ca="1" si="31"/>
        <v/>
      </c>
      <c r="Y28" s="101" t="str">
        <f t="shared" ca="1" si="9"/>
        <v/>
      </c>
      <c r="Z28" s="74" t="str">
        <f t="shared" ca="1" si="10"/>
        <v/>
      </c>
      <c r="AA28" s="102" t="str">
        <f t="shared" ca="1" si="32"/>
        <v/>
      </c>
      <c r="AB28" s="102" t="str">
        <f t="shared" ca="1" si="33"/>
        <v/>
      </c>
      <c r="AC28" s="102" t="str">
        <f t="shared" ca="1" si="34"/>
        <v/>
      </c>
      <c r="AD28" s="102" t="str">
        <f t="shared" ca="1" si="35"/>
        <v/>
      </c>
      <c r="AE28" s="102" t="str">
        <f t="shared" ca="1" si="36"/>
        <v/>
      </c>
      <c r="AF28" s="102" t="str">
        <f t="shared" ca="1" si="37"/>
        <v/>
      </c>
      <c r="AG28" s="102" t="str">
        <f t="shared" ca="1" si="38"/>
        <v/>
      </c>
      <c r="AH28" s="102" t="str">
        <f t="shared" ca="1" si="39"/>
        <v/>
      </c>
      <c r="AI28" s="102" t="str">
        <f t="shared" ca="1" si="40"/>
        <v/>
      </c>
      <c r="AJ28" s="102" t="str">
        <f t="shared" ca="1" si="41"/>
        <v/>
      </c>
      <c r="AK28" s="102" t="str">
        <f t="shared" ca="1" si="42"/>
        <v/>
      </c>
      <c r="AL28" s="102" t="str">
        <f t="shared" ca="1" si="43"/>
        <v/>
      </c>
      <c r="AM28" s="102" t="str">
        <f t="shared" ca="1" si="44"/>
        <v/>
      </c>
      <c r="AN28" s="102" t="str">
        <f t="shared" ca="1" si="45"/>
        <v/>
      </c>
      <c r="AO28" s="102" t="str">
        <f t="shared" ca="1" si="12"/>
        <v/>
      </c>
      <c r="AP28" s="102" t="str">
        <f t="shared" ca="1" si="13"/>
        <v/>
      </c>
      <c r="AQ28" s="102" t="str">
        <f t="shared" ca="1" si="14"/>
        <v/>
      </c>
      <c r="AR28" s="102" t="str">
        <f t="shared" ca="1" si="15"/>
        <v/>
      </c>
      <c r="AS28" s="102" t="str">
        <f t="shared" ca="1" si="16"/>
        <v/>
      </c>
      <c r="AT28" s="102" t="str">
        <f t="shared" ca="1" si="17"/>
        <v/>
      </c>
      <c r="AU28" s="102" t="str">
        <f t="shared" ca="1" si="18"/>
        <v/>
      </c>
      <c r="AV28" s="102" t="str">
        <f t="shared" ca="1" si="19"/>
        <v/>
      </c>
      <c r="AW28" s="102" t="str">
        <f t="shared" ca="1" si="20"/>
        <v/>
      </c>
      <c r="AX28" s="102" t="str">
        <f t="shared" ca="1" si="21"/>
        <v/>
      </c>
      <c r="AY28" s="102" t="str">
        <f t="shared" ca="1" si="22"/>
        <v/>
      </c>
      <c r="AZ28" s="102" t="str">
        <f t="shared" ca="1" si="23"/>
        <v/>
      </c>
      <c r="BA28" s="102" t="str">
        <f t="shared" ca="1" si="24"/>
        <v/>
      </c>
      <c r="BB28" s="102" t="str">
        <f t="shared" ca="1" si="25"/>
        <v/>
      </c>
      <c r="BC28" s="338">
        <f>'LCC4'!$Z$15</f>
        <v>-277980</v>
      </c>
      <c r="BD28" s="339">
        <f>'LCC4'!$Z$16</f>
        <v>-235568.45268286602</v>
      </c>
      <c r="BE28" s="339">
        <f>'LCC4'!$Z$17</f>
        <v>-193812.50325698359</v>
      </c>
      <c r="BF28" s="339">
        <f>'LCC4'!$Z$18</f>
        <v>-153710.28736496787</v>
      </c>
      <c r="BG28" s="339">
        <f>'LCC4'!$Z$19</f>
        <v>-115120.69538143603</v>
      </c>
      <c r="BH28" s="339">
        <f>'LCC4'!$Z$20</f>
        <v>-77668.215275683906</v>
      </c>
      <c r="BI28" s="339">
        <f>'LCC4'!$Z$21</f>
        <v>-41197.409659302793</v>
      </c>
      <c r="BJ28" s="339">
        <f>'LCC4'!$Z$22</f>
        <v>-5738.6193006420508</v>
      </c>
      <c r="BK28" s="339">
        <f>'LCC4'!$Z$23</f>
        <v>28597.99121651426</v>
      </c>
      <c r="BL28" s="339">
        <f>'LCC4'!$Z$24</f>
        <v>61842.415627682582</v>
      </c>
      <c r="BM28" s="339">
        <f>'LCC4'!$Z$25</f>
        <v>94176.880739401095</v>
      </c>
      <c r="BN28" s="339">
        <f>'LCC4'!$Z$26</f>
        <v>125682.02438270301</v>
      </c>
      <c r="BO28" s="339">
        <f>'LCC4'!$Z$27</f>
        <v>156313.46945136692</v>
      </c>
      <c r="BP28" s="339">
        <f>'LCC4'!$Z$28</f>
        <v>185927.51996728685</v>
      </c>
      <c r="BQ28" s="339">
        <f>'LCC4'!$Z$29</f>
        <v>214474.09042985924</v>
      </c>
      <c r="BR28" s="339">
        <f>'LCC4'!$Z$30</f>
        <v>242108.27006791718</v>
      </c>
      <c r="BS28" s="339">
        <f>'LCC4'!$Z$31</f>
        <v>268898.01931149699</v>
      </c>
      <c r="BT28" s="339">
        <f>'LCC4'!$Z$32</f>
        <v>294896.93768821284</v>
      </c>
      <c r="BU28" s="339">
        <f>'LCC4'!$Z$33</f>
        <v>320186.35485452972</v>
      </c>
      <c r="BV28" s="339">
        <f>'LCC4'!$Z$34</f>
        <v>344762.67917379737</v>
      </c>
      <c r="BW28" s="339">
        <f>'LCC4'!$Z$35</f>
        <v>368665.51499477401</v>
      </c>
      <c r="BX28" s="339">
        <f>'LCC4'!$Z$36</f>
        <v>391927.96165295877</v>
      </c>
      <c r="BY28" s="339">
        <f>'LCC4'!$Z$37</f>
        <v>414613.95130928233</v>
      </c>
      <c r="BZ28" s="339">
        <f>'LCC4'!$Z$38</f>
        <v>436739.35806839354</v>
      </c>
      <c r="CA28" s="339">
        <f>'LCC4'!$Z$39</f>
        <v>458312.82767263427</v>
      </c>
      <c r="CB28" s="340">
        <f>'LCC4'!$Z$40</f>
        <v>479354.7420414649</v>
      </c>
    </row>
    <row r="29" spans="2:80" x14ac:dyDescent="0.2">
      <c r="B29" s="81" t="str">
        <f t="shared" si="5"/>
        <v>Alt 5</v>
      </c>
      <c r="C29" s="98" t="str">
        <f t="shared" ca="1" si="5"/>
        <v xml:space="preserve">Viracon - VE1-55 - Low-E Clear </v>
      </c>
      <c r="D29" s="91">
        <f t="shared" si="26"/>
        <v>-115350</v>
      </c>
      <c r="E29" s="91">
        <f t="shared" si="6"/>
        <v>-115350</v>
      </c>
      <c r="F29" s="91">
        <f t="shared" si="6"/>
        <v>34460</v>
      </c>
      <c r="G29" s="91">
        <f t="shared" si="6"/>
        <v>616323.46251607127</v>
      </c>
      <c r="H29" s="91">
        <f t="shared" si="6"/>
        <v>5110</v>
      </c>
      <c r="I29" s="91">
        <f t="shared" si="6"/>
        <v>106882.25662512466</v>
      </c>
      <c r="J29" s="91">
        <f t="shared" si="6"/>
        <v>39570</v>
      </c>
      <c r="K29" s="91">
        <f t="shared" si="6"/>
        <v>1041483.0261003841</v>
      </c>
      <c r="L29" s="91">
        <f t="shared" si="6"/>
        <v>723205.7191411946</v>
      </c>
      <c r="M29" s="91">
        <f t="shared" si="6"/>
        <v>0</v>
      </c>
      <c r="N29" s="91">
        <f t="shared" si="6"/>
        <v>0</v>
      </c>
      <c r="O29" s="91">
        <f t="shared" si="7"/>
        <v>926133.02610038407</v>
      </c>
      <c r="P29" s="91">
        <f t="shared" si="6"/>
        <v>607855.71914120018</v>
      </c>
      <c r="Q29" s="91">
        <f t="shared" si="27"/>
        <v>607855.71914120018</v>
      </c>
      <c r="R29" s="92">
        <f t="shared" si="28"/>
        <v>2.9150871872630781</v>
      </c>
      <c r="S29" s="92">
        <f>'LCC5'!AA43</f>
        <v>2.9991354284481759</v>
      </c>
      <c r="T29" s="89">
        <f t="shared" si="29"/>
        <v>115350</v>
      </c>
      <c r="U29" s="89">
        <f t="shared" si="8"/>
        <v>723205.7191411946</v>
      </c>
      <c r="V29" s="93">
        <f t="shared" si="30"/>
        <v>6.2696637983631955</v>
      </c>
      <c r="W29" s="94">
        <f>((1+'General Data'!$H$15)*(V29^(1/'General Data'!$H$18)))-1</f>
        <v>0.10847778751046788</v>
      </c>
      <c r="X29" s="6" t="str">
        <f t="shared" ca="1" si="31"/>
        <v/>
      </c>
      <c r="Y29" s="101" t="str">
        <f t="shared" ca="1" si="9"/>
        <v/>
      </c>
      <c r="Z29" s="74" t="str">
        <f t="shared" ca="1" si="10"/>
        <v/>
      </c>
      <c r="AA29" s="102" t="str">
        <f t="shared" ca="1" si="32"/>
        <v/>
      </c>
      <c r="AB29" s="102" t="str">
        <f t="shared" ca="1" si="33"/>
        <v/>
      </c>
      <c r="AC29" s="102" t="str">
        <f t="shared" ca="1" si="34"/>
        <v/>
      </c>
      <c r="AD29" s="102" t="str">
        <f t="shared" ca="1" si="35"/>
        <v/>
      </c>
      <c r="AE29" s="102" t="str">
        <f t="shared" ca="1" si="36"/>
        <v/>
      </c>
      <c r="AF29" s="102" t="str">
        <f t="shared" ca="1" si="37"/>
        <v/>
      </c>
      <c r="AG29" s="102" t="str">
        <f t="shared" ca="1" si="38"/>
        <v/>
      </c>
      <c r="AH29" s="102" t="str">
        <f t="shared" ca="1" si="39"/>
        <v/>
      </c>
      <c r="AI29" s="102" t="str">
        <f t="shared" ca="1" si="40"/>
        <v/>
      </c>
      <c r="AJ29" s="102" t="str">
        <f t="shared" ca="1" si="41"/>
        <v/>
      </c>
      <c r="AK29" s="102" t="str">
        <f t="shared" ca="1" si="42"/>
        <v/>
      </c>
      <c r="AL29" s="102" t="str">
        <f t="shared" ca="1" si="43"/>
        <v/>
      </c>
      <c r="AM29" s="102" t="str">
        <f t="shared" ca="1" si="44"/>
        <v/>
      </c>
      <c r="AN29" s="102" t="str">
        <f t="shared" ca="1" si="45"/>
        <v/>
      </c>
      <c r="AO29" s="102" t="str">
        <f t="shared" ca="1" si="12"/>
        <v/>
      </c>
      <c r="AP29" s="102" t="str">
        <f t="shared" ca="1" si="13"/>
        <v/>
      </c>
      <c r="AQ29" s="102" t="str">
        <f t="shared" ca="1" si="14"/>
        <v/>
      </c>
      <c r="AR29" s="102" t="str">
        <f t="shared" ca="1" si="15"/>
        <v/>
      </c>
      <c r="AS29" s="102" t="str">
        <f t="shared" ca="1" si="16"/>
        <v/>
      </c>
      <c r="AT29" s="102" t="str">
        <f t="shared" ca="1" si="17"/>
        <v/>
      </c>
      <c r="AU29" s="102" t="str">
        <f t="shared" ca="1" si="18"/>
        <v/>
      </c>
      <c r="AV29" s="102" t="str">
        <f t="shared" ca="1" si="19"/>
        <v/>
      </c>
      <c r="AW29" s="102" t="str">
        <f t="shared" ca="1" si="20"/>
        <v/>
      </c>
      <c r="AX29" s="102" t="str">
        <f t="shared" ca="1" si="21"/>
        <v/>
      </c>
      <c r="AY29" s="102" t="str">
        <f t="shared" ca="1" si="22"/>
        <v/>
      </c>
      <c r="AZ29" s="102" t="str">
        <f t="shared" ca="1" si="23"/>
        <v/>
      </c>
      <c r="BA29" s="102" t="str">
        <f t="shared" ca="1" si="24"/>
        <v/>
      </c>
      <c r="BB29" s="102" t="str">
        <f t="shared" ca="1" si="25"/>
        <v/>
      </c>
      <c r="BC29" s="338">
        <f>'LCC5'!$Z$15</f>
        <v>-115350</v>
      </c>
      <c r="BD29" s="339">
        <f>'LCC5'!$Z$16</f>
        <v>-75941.432989652501</v>
      </c>
      <c r="BE29" s="339">
        <f>'LCC5'!$Z$17</f>
        <v>-37213.728474037955</v>
      </c>
      <c r="BF29" s="339">
        <f>'LCC5'!$Z$18</f>
        <v>32.201771711697802</v>
      </c>
      <c r="BG29" s="339">
        <f>'LCC5'!$Z$19</f>
        <v>36110.664197006729</v>
      </c>
      <c r="BH29" s="339">
        <f>'LCC5'!$Z$20</f>
        <v>71375.480632761959</v>
      </c>
      <c r="BI29" s="339">
        <f>'LCC5'!$Z$21</f>
        <v>105891.19382653851</v>
      </c>
      <c r="BJ29" s="339">
        <f>'LCC5'!$Z$22</f>
        <v>139552.93599637598</v>
      </c>
      <c r="BK29" s="339">
        <f>'LCC5'!$Z$23</f>
        <v>172255.88022423629</v>
      </c>
      <c r="BL29" s="339">
        <f>'LCC5'!$Z$24</f>
        <v>203988.11054950114</v>
      </c>
      <c r="BM29" s="339">
        <f>'LCC5'!$Z$25</f>
        <v>234929.85040102899</v>
      </c>
      <c r="BN29" s="339">
        <f>'LCC5'!$Z$26</f>
        <v>265168.17786823492</v>
      </c>
      <c r="BO29" s="339">
        <f>'LCC5'!$Z$27</f>
        <v>294588.15234478936</v>
      </c>
      <c r="BP29" s="339">
        <f>'LCC5'!$Z$28</f>
        <v>323016.15440130513</v>
      </c>
      <c r="BQ29" s="339">
        <f>'LCC5'!$Z$29</f>
        <v>350431.68165529147</v>
      </c>
      <c r="BR29" s="339">
        <f>'LCC5'!$Z$30</f>
        <v>376996.92253214493</v>
      </c>
      <c r="BS29" s="339">
        <f>'LCC5'!$Z$31</f>
        <v>402793.57006381452</v>
      </c>
      <c r="BT29" s="339">
        <f>'LCC5'!$Z$32</f>
        <v>427901.52718704566</v>
      </c>
      <c r="BU29" s="339">
        <f>'LCC5'!$Z$33</f>
        <v>452373.6269821655</v>
      </c>
      <c r="BV29" s="339">
        <f>'LCC5'!$Z$34</f>
        <v>476203.71219829842</v>
      </c>
      <c r="BW29" s="339">
        <f>'LCC5'!$Z$35</f>
        <v>499445.61152068526</v>
      </c>
      <c r="BX29" s="339">
        <f>'LCC5'!$Z$36</f>
        <v>522125.07038274407</v>
      </c>
      <c r="BY29" s="339">
        <f>'LCC5'!$Z$37</f>
        <v>544265.18164540268</v>
      </c>
      <c r="BZ29" s="339">
        <f>'LCC5'!$Z$38</f>
        <v>565912.79469887167</v>
      </c>
      <c r="CA29" s="339">
        <f>'LCC5'!$Z$39</f>
        <v>587106.12484776787</v>
      </c>
      <c r="CB29" s="340">
        <f>'LCC5'!$Z$40</f>
        <v>607855.71914120018</v>
      </c>
    </row>
    <row r="30" spans="2:80" x14ac:dyDescent="0.2">
      <c r="B30" s="81" t="str">
        <f t="shared" si="5"/>
        <v>Alt 6</v>
      </c>
      <c r="C30" s="98" t="str">
        <f t="shared" ca="1" si="5"/>
        <v xml:space="preserve">Viracon - VE1-85 - Low-E Clear </v>
      </c>
      <c r="D30" s="91">
        <f t="shared" si="26"/>
        <v>-120030</v>
      </c>
      <c r="E30" s="91">
        <f t="shared" si="6"/>
        <v>-120030</v>
      </c>
      <c r="F30" s="91">
        <f t="shared" si="6"/>
        <v>14580</v>
      </c>
      <c r="G30" s="91">
        <f t="shared" si="6"/>
        <v>260765.99197574705</v>
      </c>
      <c r="H30" s="91">
        <f t="shared" si="6"/>
        <v>4900</v>
      </c>
      <c r="I30" s="91">
        <f t="shared" si="6"/>
        <v>102489.83511998266</v>
      </c>
      <c r="J30" s="91">
        <f t="shared" si="6"/>
        <v>19480</v>
      </c>
      <c r="K30" s="91">
        <f t="shared" si="6"/>
        <v>524580.96057456359</v>
      </c>
      <c r="L30" s="91">
        <f t="shared" si="6"/>
        <v>363255.82709572837</v>
      </c>
      <c r="M30" s="91">
        <f t="shared" si="6"/>
        <v>0</v>
      </c>
      <c r="N30" s="91">
        <f t="shared" si="6"/>
        <v>0</v>
      </c>
      <c r="O30" s="91">
        <f t="shared" si="7"/>
        <v>404550.96057456359</v>
      </c>
      <c r="P30" s="91">
        <f t="shared" si="6"/>
        <v>243225.82709573582</v>
      </c>
      <c r="Q30" s="91">
        <f t="shared" si="27"/>
        <v>243225.82709573582</v>
      </c>
      <c r="R30" s="92">
        <f t="shared" si="28"/>
        <v>6.1617043121149901</v>
      </c>
      <c r="S30" s="92">
        <f>'LCC6'!AA43</f>
        <v>6.642913954965735</v>
      </c>
      <c r="T30" s="89">
        <f t="shared" si="29"/>
        <v>120030</v>
      </c>
      <c r="U30" s="89">
        <f t="shared" si="8"/>
        <v>363255.82709572837</v>
      </c>
      <c r="V30" s="93">
        <f t="shared" si="30"/>
        <v>3.026375298639743</v>
      </c>
      <c r="W30" s="94">
        <f>((1+'General Data'!$H$15)*(V30^(1/'General Data'!$H$18)))-1</f>
        <v>7.6648986834863875E-2</v>
      </c>
      <c r="X30" s="6" t="str">
        <f t="shared" ca="1" si="31"/>
        <v/>
      </c>
      <c r="Y30" s="101" t="str">
        <f t="shared" ca="1" si="9"/>
        <v/>
      </c>
      <c r="Z30" s="74" t="str">
        <f t="shared" ca="1" si="10"/>
        <v/>
      </c>
      <c r="AA30" s="102" t="str">
        <f t="shared" ca="1" si="32"/>
        <v/>
      </c>
      <c r="AB30" s="102" t="str">
        <f t="shared" ca="1" si="33"/>
        <v/>
      </c>
      <c r="AC30" s="102" t="str">
        <f t="shared" ca="1" si="34"/>
        <v/>
      </c>
      <c r="AD30" s="102" t="str">
        <f t="shared" ca="1" si="35"/>
        <v/>
      </c>
      <c r="AE30" s="102" t="str">
        <f t="shared" ca="1" si="36"/>
        <v/>
      </c>
      <c r="AF30" s="102" t="str">
        <f t="shared" ca="1" si="37"/>
        <v/>
      </c>
      <c r="AG30" s="102" t="str">
        <f t="shared" ca="1" si="38"/>
        <v/>
      </c>
      <c r="AH30" s="102" t="str">
        <f t="shared" ca="1" si="39"/>
        <v/>
      </c>
      <c r="AI30" s="102" t="str">
        <f t="shared" ca="1" si="40"/>
        <v/>
      </c>
      <c r="AJ30" s="102" t="str">
        <f t="shared" ca="1" si="41"/>
        <v/>
      </c>
      <c r="AK30" s="102" t="str">
        <f t="shared" ca="1" si="42"/>
        <v/>
      </c>
      <c r="AL30" s="102" t="str">
        <f t="shared" ca="1" si="43"/>
        <v/>
      </c>
      <c r="AM30" s="102" t="str">
        <f t="shared" ca="1" si="44"/>
        <v/>
      </c>
      <c r="AN30" s="102" t="str">
        <f t="shared" ca="1" si="45"/>
        <v/>
      </c>
      <c r="AO30" s="102" t="str">
        <f t="shared" ca="1" si="12"/>
        <v/>
      </c>
      <c r="AP30" s="102" t="str">
        <f t="shared" ca="1" si="13"/>
        <v/>
      </c>
      <c r="AQ30" s="102" t="str">
        <f t="shared" ca="1" si="14"/>
        <v/>
      </c>
      <c r="AR30" s="102" t="str">
        <f t="shared" ca="1" si="15"/>
        <v/>
      </c>
      <c r="AS30" s="102" t="str">
        <f t="shared" ca="1" si="16"/>
        <v/>
      </c>
      <c r="AT30" s="102" t="str">
        <f t="shared" ca="1" si="17"/>
        <v/>
      </c>
      <c r="AU30" s="102" t="str">
        <f t="shared" ca="1" si="18"/>
        <v/>
      </c>
      <c r="AV30" s="102" t="str">
        <f t="shared" ca="1" si="19"/>
        <v/>
      </c>
      <c r="AW30" s="102" t="str">
        <f t="shared" ca="1" si="20"/>
        <v/>
      </c>
      <c r="AX30" s="102" t="str">
        <f t="shared" ca="1" si="21"/>
        <v/>
      </c>
      <c r="AY30" s="102" t="str">
        <f t="shared" ca="1" si="22"/>
        <v/>
      </c>
      <c r="AZ30" s="102" t="str">
        <f t="shared" ca="1" si="23"/>
        <v/>
      </c>
      <c r="BA30" s="102" t="str">
        <f t="shared" ca="1" si="24"/>
        <v/>
      </c>
      <c r="BB30" s="102" t="str">
        <f t="shared" ca="1" si="25"/>
        <v/>
      </c>
      <c r="BC30" s="338">
        <f>'LCC6'!$Z$15</f>
        <v>-120030</v>
      </c>
      <c r="BD30" s="339">
        <f>'LCC6'!$Z$16</f>
        <v>-100665.12031119037</v>
      </c>
      <c r="BE30" s="339">
        <f>'LCC6'!$Z$17</f>
        <v>-81663.789588169195</v>
      </c>
      <c r="BF30" s="339">
        <f>'LCC6'!$Z$18</f>
        <v>-63368.40259882086</v>
      </c>
      <c r="BG30" s="339">
        <f>'LCC6'!$Z$19</f>
        <v>-45550.451392120682</v>
      </c>
      <c r="BH30" s="339">
        <f>'LCC6'!$Z$20</f>
        <v>-28034.092013349291</v>
      </c>
      <c r="BI30" s="339">
        <f>'LCC6'!$Z$21</f>
        <v>-10819.907420768403</v>
      </c>
      <c r="BJ30" s="339">
        <f>'LCC6'!$Z$22</f>
        <v>6009.5723831737414</v>
      </c>
      <c r="BK30" s="339">
        <f>'LCC6'!$Z$23</f>
        <v>22401.841136219911</v>
      </c>
      <c r="BL30" s="339">
        <f>'LCC6'!$Z$24</f>
        <v>38334.958302393556</v>
      </c>
      <c r="BM30" s="339">
        <f>'LCC6'!$Z$25</f>
        <v>53901.889951245859</v>
      </c>
      <c r="BN30" s="339">
        <f>'LCC6'!$Z$26</f>
        <v>69150.337281462736</v>
      </c>
      <c r="BO30" s="339">
        <f>'LCC6'!$Z$27</f>
        <v>83994.021242370829</v>
      </c>
      <c r="BP30" s="339">
        <f>'LCC6'!$Z$28</f>
        <v>98331.416092918254</v>
      </c>
      <c r="BQ30" s="339">
        <f>'LCC6'!$Z$29</f>
        <v>112162.97369970288</v>
      </c>
      <c r="BR30" s="339">
        <f>'LCC6'!$Z$30</f>
        <v>125575.70121431164</v>
      </c>
      <c r="BS30" s="339">
        <f>'LCC6'!$Z$31</f>
        <v>138617.23902089335</v>
      </c>
      <c r="BT30" s="339">
        <f>'LCC6'!$Z$32</f>
        <v>151339.01906143874</v>
      </c>
      <c r="BU30" s="339">
        <f>'LCC6'!$Z$33</f>
        <v>163757.81005615555</v>
      </c>
      <c r="BV30" s="339">
        <f>'LCC6'!$Z$34</f>
        <v>175869.44633406401</v>
      </c>
      <c r="BW30" s="339">
        <f>'LCC6'!$Z$35</f>
        <v>187707.26316250488</v>
      </c>
      <c r="BX30" s="339">
        <f>'LCC6'!$Z$36</f>
        <v>199281.88590716571</v>
      </c>
      <c r="BY30" s="339">
        <f>'LCC6'!$Z$37</f>
        <v>210589.98121473007</v>
      </c>
      <c r="BZ30" s="339">
        <f>'LCC6'!$Z$38</f>
        <v>221667.54779438861</v>
      </c>
      <c r="CA30" s="339">
        <f>'LCC6'!$Z$39</f>
        <v>232545.56642834656</v>
      </c>
      <c r="CB30" s="340">
        <f>'LCC6'!$Z$40</f>
        <v>243225.82709573582</v>
      </c>
    </row>
    <row r="31" spans="2:80" x14ac:dyDescent="0.2">
      <c r="B31" s="81" t="str">
        <f t="shared" si="5"/>
        <v>Alt 7</v>
      </c>
      <c r="C31" s="98" t="str">
        <f t="shared" ca="1" si="5"/>
        <v xml:space="preserve">Viracon - VE7-55 - Low-E Azurlite </v>
      </c>
      <c r="D31" s="91">
        <f t="shared" si="26"/>
        <v>-202170</v>
      </c>
      <c r="E31" s="91">
        <f t="shared" si="6"/>
        <v>-202170</v>
      </c>
      <c r="F31" s="91">
        <f t="shared" si="6"/>
        <v>50300</v>
      </c>
      <c r="G31" s="91">
        <f t="shared" si="6"/>
        <v>899624.7871316988</v>
      </c>
      <c r="H31" s="91">
        <f t="shared" si="6"/>
        <v>4400</v>
      </c>
      <c r="I31" s="91">
        <f t="shared" si="6"/>
        <v>92031.688679168234</v>
      </c>
      <c r="J31" s="91">
        <f t="shared" si="6"/>
        <v>54700</v>
      </c>
      <c r="K31" s="91">
        <f t="shared" si="6"/>
        <v>1426446.8742977362</v>
      </c>
      <c r="L31" s="91">
        <f t="shared" si="6"/>
        <v>991656.4758108668</v>
      </c>
      <c r="M31" s="91">
        <f t="shared" si="6"/>
        <v>0</v>
      </c>
      <c r="N31" s="91">
        <f t="shared" si="6"/>
        <v>0</v>
      </c>
      <c r="O31" s="91">
        <f t="shared" si="7"/>
        <v>1224276.8742977362</v>
      </c>
      <c r="P31" s="91">
        <f t="shared" si="6"/>
        <v>789486.47581087053</v>
      </c>
      <c r="Q31" s="91">
        <f t="shared" si="27"/>
        <v>789486.47581087053</v>
      </c>
      <c r="R31" s="92">
        <f t="shared" si="28"/>
        <v>3.6959780621572214</v>
      </c>
      <c r="S31" s="92">
        <f>'LCC7'!AA43</f>
        <v>3.8535165695136202</v>
      </c>
      <c r="T31" s="89">
        <f t="shared" si="29"/>
        <v>202170</v>
      </c>
      <c r="U31" s="89">
        <f t="shared" si="8"/>
        <v>991656.4758108668</v>
      </c>
      <c r="V31" s="93">
        <f t="shared" si="30"/>
        <v>4.9050624514560361</v>
      </c>
      <c r="W31" s="94">
        <f>((1+'General Data'!$H$15)*(V31^(1/'General Data'!$H$18)))-1</f>
        <v>9.7647787534240971E-2</v>
      </c>
      <c r="X31" s="6" t="str">
        <f t="shared" ca="1" si="31"/>
        <v/>
      </c>
      <c r="Y31" s="101" t="str">
        <f t="shared" ca="1" si="9"/>
        <v/>
      </c>
      <c r="Z31" s="74" t="str">
        <f t="shared" ca="1" si="10"/>
        <v/>
      </c>
      <c r="AA31" s="102" t="str">
        <f t="shared" ca="1" si="32"/>
        <v/>
      </c>
      <c r="AB31" s="102" t="str">
        <f t="shared" ca="1" si="33"/>
        <v/>
      </c>
      <c r="AC31" s="102" t="str">
        <f t="shared" ca="1" si="34"/>
        <v/>
      </c>
      <c r="AD31" s="102" t="str">
        <f t="shared" ca="1" si="35"/>
        <v/>
      </c>
      <c r="AE31" s="102" t="str">
        <f t="shared" ca="1" si="36"/>
        <v/>
      </c>
      <c r="AF31" s="102" t="str">
        <f t="shared" ca="1" si="37"/>
        <v/>
      </c>
      <c r="AG31" s="102" t="str">
        <f t="shared" ca="1" si="38"/>
        <v/>
      </c>
      <c r="AH31" s="102" t="str">
        <f t="shared" ca="1" si="39"/>
        <v/>
      </c>
      <c r="AI31" s="102" t="str">
        <f t="shared" ca="1" si="40"/>
        <v/>
      </c>
      <c r="AJ31" s="102" t="str">
        <f t="shared" ca="1" si="41"/>
        <v/>
      </c>
      <c r="AK31" s="102" t="str">
        <f t="shared" ca="1" si="42"/>
        <v/>
      </c>
      <c r="AL31" s="102" t="str">
        <f t="shared" ca="1" si="43"/>
        <v/>
      </c>
      <c r="AM31" s="102" t="str">
        <f t="shared" ca="1" si="44"/>
        <v/>
      </c>
      <c r="AN31" s="102" t="str">
        <f t="shared" ca="1" si="45"/>
        <v/>
      </c>
      <c r="AO31" s="102" t="str">
        <f t="shared" ca="1" si="12"/>
        <v/>
      </c>
      <c r="AP31" s="102" t="str">
        <f t="shared" ca="1" si="13"/>
        <v/>
      </c>
      <c r="AQ31" s="102" t="str">
        <f t="shared" ca="1" si="14"/>
        <v/>
      </c>
      <c r="AR31" s="102" t="str">
        <f t="shared" ca="1" si="15"/>
        <v/>
      </c>
      <c r="AS31" s="102" t="str">
        <f t="shared" ca="1" si="16"/>
        <v/>
      </c>
      <c r="AT31" s="102" t="str">
        <f t="shared" ca="1" si="17"/>
        <v/>
      </c>
      <c r="AU31" s="102" t="str">
        <f t="shared" ca="1" si="18"/>
        <v/>
      </c>
      <c r="AV31" s="102" t="str">
        <f t="shared" ca="1" si="19"/>
        <v/>
      </c>
      <c r="AW31" s="102" t="str">
        <f t="shared" ca="1" si="20"/>
        <v/>
      </c>
      <c r="AX31" s="102" t="str">
        <f t="shared" ca="1" si="21"/>
        <v/>
      </c>
      <c r="AY31" s="102" t="str">
        <f t="shared" ca="1" si="22"/>
        <v/>
      </c>
      <c r="AZ31" s="102" t="str">
        <f t="shared" ca="1" si="23"/>
        <v/>
      </c>
      <c r="BA31" s="102" t="str">
        <f t="shared" ca="1" si="24"/>
        <v/>
      </c>
      <c r="BB31" s="102" t="str">
        <f t="shared" ca="1" si="25"/>
        <v/>
      </c>
      <c r="BC31" s="338">
        <f>'LCC7'!$Z$15</f>
        <v>-202170</v>
      </c>
      <c r="BD31" s="339">
        <f>'LCC7'!$Z$16</f>
        <v>-147653.33212780906</v>
      </c>
      <c r="BE31" s="339">
        <f>'LCC7'!$Z$17</f>
        <v>-94046.171128734713</v>
      </c>
      <c r="BF31" s="339">
        <f>'LCC7'!$Z$18</f>
        <v>-42513.635284778895</v>
      </c>
      <c r="BG31" s="339">
        <f>'LCC7'!$Z$19</f>
        <v>7296.3353746137582</v>
      </c>
      <c r="BH31" s="339">
        <f>'LCC7'!$Z$20</f>
        <v>55870.995281822514</v>
      </c>
      <c r="BI31" s="339">
        <f>'LCC7'!$Z$21</f>
        <v>103335.71516947076</v>
      </c>
      <c r="BJ31" s="339">
        <f>'LCC7'!$Z$22</f>
        <v>149580.05669992417</v>
      </c>
      <c r="BK31" s="339">
        <f>'LCC7'!$Z$23</f>
        <v>194460.11767218728</v>
      </c>
      <c r="BL31" s="339">
        <f>'LCC7'!$Z$24</f>
        <v>237977.38441960793</v>
      </c>
      <c r="BM31" s="339">
        <f>'LCC7'!$Z$25</f>
        <v>280376.24979643803</v>
      </c>
      <c r="BN31" s="339">
        <f>'LCC7'!$Z$26</f>
        <v>321771.68724686373</v>
      </c>
      <c r="BO31" s="339">
        <f>'LCC7'!$Z$27</f>
        <v>362037.98264402337</v>
      </c>
      <c r="BP31" s="339">
        <f>'LCC7'!$Z$28</f>
        <v>400953.0673511941</v>
      </c>
      <c r="BQ31" s="339">
        <f>'LCC7'!$Z$29</f>
        <v>438476.8186746547</v>
      </c>
      <c r="BR31" s="339">
        <f>'LCC7'!$Z$30</f>
        <v>474825.43681853544</v>
      </c>
      <c r="BS31" s="339">
        <f>'LCC7'!$Z$31</f>
        <v>510103.55733152758</v>
      </c>
      <c r="BT31" s="339">
        <f>'LCC7'!$Z$32</f>
        <v>544408.12069757655</v>
      </c>
      <c r="BU31" s="339">
        <f>'LCC7'!$Z$33</f>
        <v>577822.48495419323</v>
      </c>
      <c r="BV31" s="339">
        <f>'LCC7'!$Z$34</f>
        <v>610339.40604198165</v>
      </c>
      <c r="BW31" s="339">
        <f>'LCC7'!$Z$35</f>
        <v>642025.65754531324</v>
      </c>
      <c r="BX31" s="339">
        <f>'LCC7'!$Z$36</f>
        <v>672919.11799288914</v>
      </c>
      <c r="BY31" s="339">
        <f>'LCC7'!$Z$37</f>
        <v>703068.13502634689</v>
      </c>
      <c r="BZ31" s="339">
        <f>'LCC7'!$Z$38</f>
        <v>732523.02013615333</v>
      </c>
      <c r="CA31" s="339">
        <f>'LCC7'!$Z$39</f>
        <v>761323.00678058714</v>
      </c>
      <c r="CB31" s="340">
        <f>'LCC7'!$Z$40</f>
        <v>789486.47581087053</v>
      </c>
    </row>
    <row r="32" spans="2:80" x14ac:dyDescent="0.2">
      <c r="B32" s="81" t="str">
        <f t="shared" si="5"/>
        <v>Alt 8</v>
      </c>
      <c r="C32" s="98" t="str">
        <f t="shared" ca="1" si="5"/>
        <v xml:space="preserve">Viracon - VE7-85 - Low-E Azurlite </v>
      </c>
      <c r="D32" s="91">
        <f t="shared" si="26"/>
        <v>-191240</v>
      </c>
      <c r="E32" s="91">
        <f t="shared" si="6"/>
        <v>-191240</v>
      </c>
      <c r="F32" s="91">
        <f t="shared" si="6"/>
        <v>39950</v>
      </c>
      <c r="G32" s="91">
        <f t="shared" si="6"/>
        <v>714513.12616126053</v>
      </c>
      <c r="H32" s="91">
        <f t="shared" si="6"/>
        <v>4900</v>
      </c>
      <c r="I32" s="91">
        <f t="shared" si="6"/>
        <v>102489.83511998266</v>
      </c>
      <c r="J32" s="91">
        <f t="shared" si="6"/>
        <v>44850</v>
      </c>
      <c r="K32" s="91">
        <f t="shared" si="6"/>
        <v>1176013.988676874</v>
      </c>
      <c r="L32" s="91">
        <f t="shared" si="6"/>
        <v>817002.96128124185</v>
      </c>
      <c r="M32" s="91">
        <f t="shared" si="6"/>
        <v>0</v>
      </c>
      <c r="N32" s="91">
        <f t="shared" si="6"/>
        <v>0</v>
      </c>
      <c r="O32" s="91">
        <f t="shared" si="7"/>
        <v>984773.98867687397</v>
      </c>
      <c r="P32" s="91">
        <f t="shared" si="6"/>
        <v>625762.96128124744</v>
      </c>
      <c r="Q32" s="91">
        <f t="shared" si="27"/>
        <v>625762.96128124744</v>
      </c>
      <c r="R32" s="92">
        <f t="shared" si="28"/>
        <v>4.263991081382386</v>
      </c>
      <c r="S32" s="92">
        <f>'LCC8'!AA43</f>
        <v>4.4895281977955666</v>
      </c>
      <c r="T32" s="89">
        <f t="shared" si="29"/>
        <v>191240</v>
      </c>
      <c r="U32" s="89">
        <f t="shared" si="8"/>
        <v>817002.96128124185</v>
      </c>
      <c r="V32" s="93">
        <f t="shared" si="30"/>
        <v>4.2721342882307143</v>
      </c>
      <c r="W32" s="94">
        <f>((1+'General Data'!$H$15)*(V32^(1/'General Data'!$H$18)))-1</f>
        <v>9.1598726994821744E-2</v>
      </c>
      <c r="X32" s="6" t="str">
        <f t="shared" ca="1" si="31"/>
        <v/>
      </c>
      <c r="Y32" s="101" t="str">
        <f t="shared" ca="1" si="9"/>
        <v/>
      </c>
      <c r="Z32" s="74" t="str">
        <f t="shared" ca="1" si="10"/>
        <v/>
      </c>
      <c r="AA32" s="102" t="str">
        <f t="shared" ca="1" si="32"/>
        <v/>
      </c>
      <c r="AB32" s="102" t="str">
        <f t="shared" ca="1" si="33"/>
        <v/>
      </c>
      <c r="AC32" s="102" t="str">
        <f t="shared" ca="1" si="34"/>
        <v/>
      </c>
      <c r="AD32" s="102" t="str">
        <f t="shared" ca="1" si="35"/>
        <v/>
      </c>
      <c r="AE32" s="102" t="str">
        <f t="shared" ca="1" si="36"/>
        <v/>
      </c>
      <c r="AF32" s="102" t="str">
        <f t="shared" ca="1" si="37"/>
        <v/>
      </c>
      <c r="AG32" s="102" t="str">
        <f t="shared" ca="1" si="38"/>
        <v/>
      </c>
      <c r="AH32" s="102" t="str">
        <f t="shared" ca="1" si="39"/>
        <v/>
      </c>
      <c r="AI32" s="102" t="str">
        <f t="shared" ca="1" si="40"/>
        <v/>
      </c>
      <c r="AJ32" s="102" t="str">
        <f t="shared" ca="1" si="41"/>
        <v/>
      </c>
      <c r="AK32" s="102" t="str">
        <f t="shared" ca="1" si="42"/>
        <v/>
      </c>
      <c r="AL32" s="102" t="str">
        <f t="shared" ca="1" si="43"/>
        <v/>
      </c>
      <c r="AM32" s="102" t="str">
        <f t="shared" ca="1" si="44"/>
        <v/>
      </c>
      <c r="AN32" s="102" t="str">
        <f t="shared" ca="1" si="45"/>
        <v/>
      </c>
      <c r="AO32" s="102" t="str">
        <f t="shared" ca="1" si="12"/>
        <v/>
      </c>
      <c r="AP32" s="102" t="str">
        <f t="shared" ca="1" si="13"/>
        <v/>
      </c>
      <c r="AQ32" s="102" t="str">
        <f t="shared" ca="1" si="14"/>
        <v/>
      </c>
      <c r="AR32" s="102" t="str">
        <f t="shared" ca="1" si="15"/>
        <v/>
      </c>
      <c r="AS32" s="102" t="str">
        <f t="shared" ca="1" si="16"/>
        <v/>
      </c>
      <c r="AT32" s="102" t="str">
        <f t="shared" ca="1" si="17"/>
        <v/>
      </c>
      <c r="AU32" s="102" t="str">
        <f t="shared" ca="1" si="18"/>
        <v/>
      </c>
      <c r="AV32" s="102" t="str">
        <f t="shared" ca="1" si="19"/>
        <v/>
      </c>
      <c r="AW32" s="102" t="str">
        <f t="shared" ca="1" si="20"/>
        <v/>
      </c>
      <c r="AX32" s="102" t="str">
        <f t="shared" ca="1" si="21"/>
        <v/>
      </c>
      <c r="AY32" s="102" t="str">
        <f t="shared" ca="1" si="22"/>
        <v/>
      </c>
      <c r="AZ32" s="102" t="str">
        <f t="shared" ca="1" si="23"/>
        <v/>
      </c>
      <c r="BA32" s="102" t="str">
        <f t="shared" ca="1" si="24"/>
        <v/>
      </c>
      <c r="BB32" s="102" t="str">
        <f t="shared" ca="1" si="25"/>
        <v/>
      </c>
      <c r="BC32" s="338">
        <f>'LCC8'!$Z$15</f>
        <v>-191240</v>
      </c>
      <c r="BD32" s="339">
        <f>'LCC8'!$Z$16</f>
        <v>-146559.63997851219</v>
      </c>
      <c r="BE32" s="339">
        <f>'LCC8'!$Z$17</f>
        <v>-102640.38310816325</v>
      </c>
      <c r="BF32" s="339">
        <f>'LCC8'!$Z$18</f>
        <v>-60409.418339754688</v>
      </c>
      <c r="BG32" s="339">
        <f>'LCC8'!$Z$19</f>
        <v>-19538.095412875526</v>
      </c>
      <c r="BH32" s="339">
        <f>'LCC8'!$Z$20</f>
        <v>20373.998519320972</v>
      </c>
      <c r="BI32" s="339">
        <f>'LCC8'!$Z$21</f>
        <v>59412.121097688098</v>
      </c>
      <c r="BJ32" s="339">
        <f>'LCC8'!$Z$22</f>
        <v>97468.970975461416</v>
      </c>
      <c r="BK32" s="339">
        <f>'LCC8'!$Z$23</f>
        <v>134426.07064635307</v>
      </c>
      <c r="BL32" s="339">
        <f>'LCC8'!$Z$24</f>
        <v>170275.92657746747</v>
      </c>
      <c r="BM32" s="339">
        <f>'LCC8'!$Z$25</f>
        <v>205221.22298181243</v>
      </c>
      <c r="BN32" s="339">
        <f>'LCC8'!$Z$26</f>
        <v>239358.84931353945</v>
      </c>
      <c r="BO32" s="339">
        <f>'LCC8'!$Z$27</f>
        <v>272569.63485804759</v>
      </c>
      <c r="BP32" s="339">
        <f>'LCC8'!$Z$28</f>
        <v>304662.79827135708</v>
      </c>
      <c r="BQ32" s="339">
        <f>'LCC8'!$Z$29</f>
        <v>335611.15721285995</v>
      </c>
      <c r="BR32" s="339">
        <f>'LCC8'!$Z$30</f>
        <v>365595.86237267964</v>
      </c>
      <c r="BS32" s="339">
        <f>'LCC8'!$Z$31</f>
        <v>394706.73076131195</v>
      </c>
      <c r="BT32" s="339">
        <f>'LCC8'!$Z$32</f>
        <v>423029.80262909085</v>
      </c>
      <c r="BU32" s="339">
        <f>'LCC8'!$Z$33</f>
        <v>450628.41713368893</v>
      </c>
      <c r="BV32" s="339">
        <f>'LCC8'!$Z$34</f>
        <v>477496.01978220232</v>
      </c>
      <c r="BW32" s="339">
        <f>'LCC8'!$Z$35</f>
        <v>503691.06500393711</v>
      </c>
      <c r="BX32" s="339">
        <f>'LCC8'!$Z$36</f>
        <v>529243.49992774986</v>
      </c>
      <c r="BY32" s="339">
        <f>'LCC8'!$Z$37</f>
        <v>554184.99781480432</v>
      </c>
      <c r="BZ32" s="339">
        <f>'LCC8'!$Z$38</f>
        <v>578563.82115737908</v>
      </c>
      <c r="CA32" s="339">
        <f>'LCC8'!$Z$39</f>
        <v>602418.73332712613</v>
      </c>
      <c r="CB32" s="340">
        <f>'LCC8'!$Z$40</f>
        <v>625762.96128124744</v>
      </c>
    </row>
    <row r="33" spans="2:80" x14ac:dyDescent="0.2">
      <c r="B33" s="81" t="str">
        <f t="shared" si="5"/>
        <v>Alt 9</v>
      </c>
      <c r="C33" s="98" t="str">
        <f t="shared" ca="1" si="5"/>
        <v>PPG - SolarBan 2000 *</v>
      </c>
      <c r="D33" s="91">
        <f t="shared" si="26"/>
        <v>-170360</v>
      </c>
      <c r="E33" s="91">
        <f t="shared" si="6"/>
        <v>-170360</v>
      </c>
      <c r="F33" s="91">
        <f t="shared" si="6"/>
        <v>49340</v>
      </c>
      <c r="G33" s="91">
        <f t="shared" si="6"/>
        <v>882455.00988226198</v>
      </c>
      <c r="H33" s="91">
        <f t="shared" si="6"/>
        <v>3920</v>
      </c>
      <c r="I33" s="91">
        <f t="shared" si="6"/>
        <v>81991.868095986138</v>
      </c>
      <c r="J33" s="91">
        <f t="shared" si="6"/>
        <v>53260</v>
      </c>
      <c r="K33" s="91">
        <f t="shared" si="6"/>
        <v>1387082.6150021218</v>
      </c>
      <c r="L33" s="91">
        <f t="shared" si="6"/>
        <v>964446.87797824852</v>
      </c>
      <c r="M33" s="91">
        <f t="shared" si="6"/>
        <v>0</v>
      </c>
      <c r="N33" s="91">
        <f t="shared" si="6"/>
        <v>0</v>
      </c>
      <c r="O33" s="91">
        <f t="shared" si="7"/>
        <v>1216722.6150021218</v>
      </c>
      <c r="P33" s="91">
        <f t="shared" si="6"/>
        <v>794086.87797825597</v>
      </c>
      <c r="Q33" s="91">
        <f t="shared" si="27"/>
        <v>794086.87797825597</v>
      </c>
      <c r="R33" s="92">
        <f t="shared" si="28"/>
        <v>3.1986481411941421</v>
      </c>
      <c r="S33" s="92">
        <f>'LCC9'!AA43</f>
        <v>3.3069754779902918</v>
      </c>
      <c r="T33" s="89">
        <f t="shared" si="29"/>
        <v>170360</v>
      </c>
      <c r="U33" s="89">
        <f t="shared" si="8"/>
        <v>964446.87797824852</v>
      </c>
      <c r="V33" s="93">
        <f t="shared" si="30"/>
        <v>5.661228445516838</v>
      </c>
      <c r="W33" s="94">
        <f>((1+'General Data'!$H$15)*(V33^(1/'General Data'!$H$18)))-1</f>
        <v>0.10396079845863615</v>
      </c>
      <c r="X33" s="6" t="str">
        <f t="shared" ca="1" si="31"/>
        <v>*</v>
      </c>
      <c r="Y33" s="101" t="str">
        <f t="shared" ca="1" si="9"/>
        <v>*</v>
      </c>
      <c r="Z33" s="74" t="str">
        <f t="shared" ca="1" si="10"/>
        <v/>
      </c>
      <c r="AA33" s="102" t="str">
        <f t="shared" ca="1" si="32"/>
        <v/>
      </c>
      <c r="AB33" s="102" t="str">
        <f t="shared" ca="1" si="33"/>
        <v/>
      </c>
      <c r="AC33" s="102" t="str">
        <f t="shared" ca="1" si="34"/>
        <v/>
      </c>
      <c r="AD33" s="102" t="str">
        <f t="shared" ca="1" si="35"/>
        <v/>
      </c>
      <c r="AE33" s="102" t="str">
        <f t="shared" ca="1" si="36"/>
        <v/>
      </c>
      <c r="AF33" s="102" t="str">
        <f t="shared" ca="1" si="37"/>
        <v/>
      </c>
      <c r="AG33" s="102" t="str">
        <f t="shared" ca="1" si="38"/>
        <v/>
      </c>
      <c r="AH33" s="102" t="str">
        <f t="shared" ca="1" si="39"/>
        <v/>
      </c>
      <c r="AI33" s="102" t="str">
        <f t="shared" ca="1" si="40"/>
        <v/>
      </c>
      <c r="AJ33" s="102" t="str">
        <f t="shared" ca="1" si="41"/>
        <v/>
      </c>
      <c r="AK33" s="102" t="str">
        <f t="shared" ca="1" si="42"/>
        <v/>
      </c>
      <c r="AL33" s="102" t="str">
        <f t="shared" ca="1" si="43"/>
        <v/>
      </c>
      <c r="AM33" s="102" t="str">
        <f t="shared" ca="1" si="44"/>
        <v/>
      </c>
      <c r="AN33" s="102" t="str">
        <f t="shared" ca="1" si="45"/>
        <v/>
      </c>
      <c r="AO33" s="102">
        <f t="shared" ref="AO33:BB33" ca="1" si="46">IF($Y33="*",D33,"")</f>
        <v>-170360</v>
      </c>
      <c r="AP33" s="102">
        <f t="shared" ca="1" si="46"/>
        <v>-170360</v>
      </c>
      <c r="AQ33" s="102">
        <f t="shared" ca="1" si="46"/>
        <v>49340</v>
      </c>
      <c r="AR33" s="102">
        <f t="shared" ca="1" si="46"/>
        <v>882455.00988226198</v>
      </c>
      <c r="AS33" s="102">
        <f t="shared" ca="1" si="46"/>
        <v>3920</v>
      </c>
      <c r="AT33" s="102">
        <f t="shared" ca="1" si="46"/>
        <v>81991.868095986138</v>
      </c>
      <c r="AU33" s="102">
        <f t="shared" ca="1" si="46"/>
        <v>53260</v>
      </c>
      <c r="AV33" s="102">
        <f t="shared" ca="1" si="46"/>
        <v>1387082.6150021218</v>
      </c>
      <c r="AW33" s="102">
        <f t="shared" ca="1" si="46"/>
        <v>964446.87797824852</v>
      </c>
      <c r="AX33" s="102">
        <f t="shared" ca="1" si="46"/>
        <v>0</v>
      </c>
      <c r="AY33" s="102">
        <f t="shared" ca="1" si="46"/>
        <v>0</v>
      </c>
      <c r="AZ33" s="102">
        <f t="shared" ca="1" si="46"/>
        <v>1216722.6150021218</v>
      </c>
      <c r="BA33" s="102">
        <f t="shared" ca="1" si="46"/>
        <v>794086.87797825597</v>
      </c>
      <c r="BB33" s="102">
        <f t="shared" ca="1" si="46"/>
        <v>794086.87797825597</v>
      </c>
      <c r="BC33" s="338">
        <f>'LCC9'!$Z$15</f>
        <v>-170360</v>
      </c>
      <c r="BD33" s="339">
        <f>'LCC9'!$Z$16</f>
        <v>-117273.06128584675</v>
      </c>
      <c r="BE33" s="339">
        <f>'LCC9'!$Z$17</f>
        <v>-65067.353998453822</v>
      </c>
      <c r="BF33" s="339">
        <f>'LCC9'!$Z$18</f>
        <v>-14885.249042218784</v>
      </c>
      <c r="BG33" s="339">
        <f>'LCC9'!$Z$19</f>
        <v>33604.777391389478</v>
      </c>
      <c r="BH33" s="339">
        <f>'LCC9'!$Z$20</f>
        <v>80876.898991168011</v>
      </c>
      <c r="BI33" s="339">
        <f>'LCC9'!$Z$21</f>
        <v>127058.12792469189</v>
      </c>
      <c r="BJ33" s="339">
        <f>'LCC9'!$Z$22</f>
        <v>172045.65323026851</v>
      </c>
      <c r="BK33" s="339">
        <f>'LCC9'!$Z$23</f>
        <v>215699.49857014231</v>
      </c>
      <c r="BL33" s="339">
        <f>'LCC9'!$Z$24</f>
        <v>258023.56619775575</v>
      </c>
      <c r="BM33" s="339">
        <f>'LCC9'!$Z$25</f>
        <v>299255.16711509973</v>
      </c>
      <c r="BN33" s="339">
        <f>'LCC9'!$Z$26</f>
        <v>339505.50984568615</v>
      </c>
      <c r="BO33" s="339">
        <f>'LCC9'!$Z$27</f>
        <v>378656.72501850035</v>
      </c>
      <c r="BP33" s="339">
        <f>'LCC9'!$Z$28</f>
        <v>416495.04201721214</v>
      </c>
      <c r="BQ33" s="339">
        <f>'LCC9'!$Z$29</f>
        <v>452979.78384906705</v>
      </c>
      <c r="BR33" s="339">
        <f>'LCC9'!$Z$30</f>
        <v>488320.36514183227</v>
      </c>
      <c r="BS33" s="339">
        <f>'LCC9'!$Z$31</f>
        <v>522617.53306976892</v>
      </c>
      <c r="BT33" s="339">
        <f>'LCC9'!$Z$32</f>
        <v>555963.828638779</v>
      </c>
      <c r="BU33" s="339">
        <f>'LCC9'!$Z$33</f>
        <v>588441.82676992193</v>
      </c>
      <c r="BV33" s="339">
        <f>'LCC9'!$Z$34</f>
        <v>620044.64737990685</v>
      </c>
      <c r="BW33" s="339">
        <f>'LCC9'!$Z$35</f>
        <v>650836.26217280328</v>
      </c>
      <c r="BX33" s="339">
        <f>'LCC9'!$Z$36</f>
        <v>680853.86543994397</v>
      </c>
      <c r="BY33" s="339">
        <f>'LCC9'!$Z$37</f>
        <v>710146.77745993622</v>
      </c>
      <c r="BZ33" s="339">
        <f>'LCC9'!$Z$38</f>
        <v>738762.00966728292</v>
      </c>
      <c r="CA33" s="339">
        <f>'LCC9'!$Z$39</f>
        <v>766735.90430855937</v>
      </c>
      <c r="CB33" s="340">
        <f>'LCC9'!$Z$40</f>
        <v>794086.87797825597</v>
      </c>
    </row>
    <row r="34" spans="2:80" x14ac:dyDescent="0.2">
      <c r="B34" s="81"/>
      <c r="C34" s="99" t="s">
        <v>180</v>
      </c>
      <c r="D34" s="91"/>
      <c r="E34" s="91"/>
      <c r="F34" s="91"/>
      <c r="G34" s="91"/>
      <c r="H34" s="91"/>
      <c r="I34" s="91"/>
      <c r="J34" s="91"/>
      <c r="K34" s="91"/>
      <c r="L34" s="91"/>
      <c r="M34" s="91"/>
      <c r="N34" s="91"/>
      <c r="O34" s="91"/>
      <c r="P34" s="91"/>
      <c r="Q34" s="91"/>
      <c r="R34" s="92"/>
      <c r="S34" s="92"/>
      <c r="T34" s="89"/>
      <c r="U34" s="89"/>
      <c r="V34" s="93"/>
      <c r="W34" s="94"/>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342"/>
      <c r="BD34" s="343"/>
      <c r="BE34" s="343"/>
      <c r="BF34" s="343"/>
      <c r="BG34" s="343"/>
      <c r="BH34" s="343"/>
      <c r="BI34" s="343"/>
      <c r="BJ34" s="343"/>
      <c r="BK34" s="343"/>
      <c r="BL34" s="343"/>
      <c r="BM34" s="343"/>
      <c r="BN34" s="343"/>
      <c r="BO34" s="343"/>
      <c r="BP34" s="343"/>
      <c r="BQ34" s="343"/>
      <c r="BR34" s="343"/>
      <c r="BS34" s="343"/>
      <c r="BT34" s="343"/>
      <c r="BU34" s="343"/>
      <c r="BV34" s="343"/>
      <c r="BW34" s="343"/>
      <c r="BX34" s="343"/>
      <c r="BY34" s="343"/>
      <c r="BZ34" s="343"/>
      <c r="CA34" s="343"/>
      <c r="CB34" s="344"/>
    </row>
    <row r="35" spans="2:80" x14ac:dyDescent="0.2">
      <c r="B35" s="81"/>
      <c r="C35" s="99" t="s">
        <v>179</v>
      </c>
      <c r="D35" s="91"/>
      <c r="E35" s="91"/>
      <c r="F35" s="91"/>
      <c r="G35" s="91"/>
      <c r="H35" s="91"/>
      <c r="I35" s="91"/>
      <c r="J35" s="91"/>
      <c r="K35" s="91"/>
      <c r="L35" s="91"/>
      <c r="M35" s="91"/>
      <c r="N35" s="91"/>
      <c r="O35" s="91"/>
      <c r="P35" s="91"/>
      <c r="Q35" s="91"/>
      <c r="R35" s="92"/>
      <c r="S35" s="92"/>
      <c r="T35" s="89"/>
      <c r="U35" s="89"/>
      <c r="V35" s="93"/>
      <c r="W35" s="94"/>
      <c r="AA35" s="101" t="s">
        <v>181</v>
      </c>
    </row>
    <row r="36" spans="2:80" ht="20.25" customHeight="1" x14ac:dyDescent="0.2">
      <c r="B36" s="100" t="s">
        <v>226</v>
      </c>
      <c r="C36" s="98"/>
      <c r="D36" s="91">
        <f t="shared" ref="D36:Q36" ca="1" si="47">AO36-AA36</f>
        <v>-149780</v>
      </c>
      <c r="E36" s="91">
        <f t="shared" ca="1" si="47"/>
        <v>-149780</v>
      </c>
      <c r="F36" s="91">
        <f t="shared" ca="1" si="47"/>
        <v>23030</v>
      </c>
      <c r="G36" s="91">
        <f t="shared" ca="1" si="47"/>
        <v>411895.80214001238</v>
      </c>
      <c r="H36" s="91">
        <f t="shared" ca="1" si="47"/>
        <v>3980</v>
      </c>
      <c r="I36" s="91">
        <f t="shared" ca="1" si="47"/>
        <v>83246.845668883587</v>
      </c>
      <c r="J36" s="91">
        <f t="shared" ca="1" si="47"/>
        <v>27010</v>
      </c>
      <c r="K36" s="91">
        <f t="shared" ca="1" si="47"/>
        <v>713352.18435754627</v>
      </c>
      <c r="L36" s="91">
        <f t="shared" ca="1" si="47"/>
        <v>495142.64780889638</v>
      </c>
      <c r="M36" s="91">
        <f t="shared" ca="1" si="47"/>
        <v>0</v>
      </c>
      <c r="N36" s="91">
        <f t="shared" ca="1" si="47"/>
        <v>0</v>
      </c>
      <c r="O36" s="91">
        <f t="shared" ca="1" si="47"/>
        <v>563572.18435754627</v>
      </c>
      <c r="P36" s="91">
        <f t="shared" ca="1" si="47"/>
        <v>345362.64780890197</v>
      </c>
      <c r="Q36" s="91">
        <f t="shared" ca="1" si="47"/>
        <v>345362.64780890197</v>
      </c>
      <c r="R36" s="92"/>
      <c r="S36" s="92"/>
      <c r="T36" s="89"/>
      <c r="U36" s="89"/>
      <c r="V36" s="93"/>
      <c r="W36" s="94"/>
      <c r="AA36" s="102">
        <f t="shared" ref="AA36:BB36" ca="1" si="48">SUM(AA25:AA34)</f>
        <v>-20580</v>
      </c>
      <c r="AB36" s="102">
        <f t="shared" ca="1" si="48"/>
        <v>-20580</v>
      </c>
      <c r="AC36" s="102">
        <f t="shared" ca="1" si="48"/>
        <v>26310</v>
      </c>
      <c r="AD36" s="102">
        <f t="shared" ca="1" si="48"/>
        <v>470559.20774224959</v>
      </c>
      <c r="AE36" s="102">
        <f t="shared" ca="1" si="48"/>
        <v>-60</v>
      </c>
      <c r="AF36" s="102">
        <f t="shared" ca="1" si="48"/>
        <v>-1254.9775728974491</v>
      </c>
      <c r="AG36" s="102">
        <f t="shared" ca="1" si="48"/>
        <v>26250</v>
      </c>
      <c r="AH36" s="102">
        <f t="shared" ca="1" si="48"/>
        <v>673730.43064457551</v>
      </c>
      <c r="AI36" s="102">
        <f t="shared" ca="1" si="48"/>
        <v>469304.23016935214</v>
      </c>
      <c r="AJ36" s="102">
        <f t="shared" ca="1" si="48"/>
        <v>0</v>
      </c>
      <c r="AK36" s="102">
        <f t="shared" ca="1" si="48"/>
        <v>0</v>
      </c>
      <c r="AL36" s="102">
        <f t="shared" ca="1" si="48"/>
        <v>653150.43064457551</v>
      </c>
      <c r="AM36" s="102">
        <f t="shared" ca="1" si="48"/>
        <v>448724.23016935401</v>
      </c>
      <c r="AN36" s="102">
        <f t="shared" ca="1" si="48"/>
        <v>448724.23016935401</v>
      </c>
      <c r="AO36" s="102">
        <f t="shared" ca="1" si="48"/>
        <v>-170360</v>
      </c>
      <c r="AP36" s="102">
        <f t="shared" ca="1" si="48"/>
        <v>-170360</v>
      </c>
      <c r="AQ36" s="102">
        <f t="shared" ca="1" si="48"/>
        <v>49340</v>
      </c>
      <c r="AR36" s="102">
        <f t="shared" ca="1" si="48"/>
        <v>882455.00988226198</v>
      </c>
      <c r="AS36" s="102">
        <f t="shared" ca="1" si="48"/>
        <v>3920</v>
      </c>
      <c r="AT36" s="102">
        <f t="shared" ca="1" si="48"/>
        <v>81991.868095986138</v>
      </c>
      <c r="AU36" s="102">
        <f t="shared" ca="1" si="48"/>
        <v>53260</v>
      </c>
      <c r="AV36" s="102">
        <f t="shared" ca="1" si="48"/>
        <v>1387082.6150021218</v>
      </c>
      <c r="AW36" s="102">
        <f t="shared" ca="1" si="48"/>
        <v>964446.87797824852</v>
      </c>
      <c r="AX36" s="102">
        <f t="shared" ca="1" si="48"/>
        <v>0</v>
      </c>
      <c r="AY36" s="102">
        <f t="shared" ca="1" si="48"/>
        <v>0</v>
      </c>
      <c r="AZ36" s="102">
        <f t="shared" ca="1" si="48"/>
        <v>1216722.6150021218</v>
      </c>
      <c r="BA36" s="102">
        <f t="shared" ca="1" si="48"/>
        <v>794086.87797825597</v>
      </c>
      <c r="BB36" s="102">
        <f t="shared" ca="1" si="48"/>
        <v>794086.87797825597</v>
      </c>
    </row>
    <row r="37" spans="2:80" ht="12.75" customHeight="1" x14ac:dyDescent="0.2">
      <c r="B37" s="81"/>
      <c r="D37" s="89"/>
      <c r="E37" s="89"/>
      <c r="F37" s="89"/>
      <c r="G37" s="89"/>
      <c r="H37" s="89"/>
      <c r="I37" s="89"/>
      <c r="J37" s="89"/>
      <c r="K37" s="89"/>
      <c r="L37" s="89"/>
      <c r="M37" s="89"/>
      <c r="N37" s="89"/>
      <c r="O37" s="89"/>
      <c r="P37" s="89"/>
      <c r="Q37" s="82"/>
      <c r="R37" s="89"/>
      <c r="S37" s="89"/>
      <c r="T37" s="83"/>
      <c r="U37" s="83"/>
      <c r="V37" s="82"/>
      <c r="W37" s="83"/>
      <c r="X37" s="98"/>
    </row>
    <row r="38" spans="2:80" x14ac:dyDescent="0.2">
      <c r="B38" s="81"/>
      <c r="C38" s="95" t="s">
        <v>171</v>
      </c>
      <c r="D38" s="82"/>
      <c r="E38" s="83"/>
      <c r="F38" s="82"/>
      <c r="G38" s="82"/>
      <c r="H38" s="82"/>
      <c r="I38" s="83"/>
      <c r="J38" s="83"/>
      <c r="K38" s="83"/>
      <c r="L38" s="81" t="str">
        <f>'General Data'!G10</f>
        <v>DOE/FEMP Fiscal Year</v>
      </c>
      <c r="M38" s="83">
        <f>'General Data'!H10</f>
        <v>2015</v>
      </c>
      <c r="N38" s="83"/>
      <c r="O38" s="83"/>
      <c r="P38" s="83"/>
      <c r="Q38" s="82"/>
      <c r="R38" s="83"/>
      <c r="S38" s="83"/>
      <c r="T38" s="83"/>
      <c r="U38" s="83"/>
      <c r="V38" s="82"/>
      <c r="W38" s="83"/>
      <c r="X38" s="98"/>
    </row>
    <row r="39" spans="2:80" x14ac:dyDescent="0.2">
      <c r="B39" s="81"/>
      <c r="C39" s="82"/>
      <c r="D39" s="82"/>
      <c r="E39" s="82"/>
      <c r="F39" s="82"/>
      <c r="G39" s="82"/>
      <c r="H39" s="82"/>
      <c r="I39" s="83"/>
      <c r="J39" s="83"/>
      <c r="K39" s="83"/>
      <c r="L39" s="81" t="str">
        <f>'General Data'!G15</f>
        <v>Real Discount Rate for Operations Costs (i.e., energy, labor)</v>
      </c>
      <c r="M39" s="94">
        <f>'General Data'!H15</f>
        <v>0.03</v>
      </c>
      <c r="N39" s="83"/>
      <c r="O39" s="83"/>
      <c r="P39" s="83"/>
      <c r="Q39" s="82"/>
      <c r="R39" s="83"/>
      <c r="S39" s="83"/>
      <c r="T39" s="83"/>
      <c r="U39" s="83"/>
      <c r="V39" s="82"/>
      <c r="W39" s="83"/>
      <c r="X39" s="98"/>
    </row>
    <row r="40" spans="2:80" x14ac:dyDescent="0.2">
      <c r="B40" s="81"/>
      <c r="C40" s="82"/>
      <c r="D40" s="82"/>
      <c r="E40" s="82"/>
      <c r="F40" s="82"/>
      <c r="G40" s="82"/>
      <c r="H40" s="82"/>
      <c r="I40" s="83"/>
      <c r="J40" s="83"/>
      <c r="K40" s="83"/>
      <c r="L40" s="81" t="str">
        <f>'General Data'!G16</f>
        <v>Real Discount Rate for Capital Costs (i.e., equipment)</v>
      </c>
      <c r="M40" s="94">
        <f>'General Data'!H16</f>
        <v>0.03</v>
      </c>
      <c r="N40" s="83"/>
      <c r="O40" s="83"/>
      <c r="P40" s="83"/>
      <c r="Q40" s="82"/>
      <c r="R40" s="83"/>
      <c r="S40" s="83"/>
      <c r="T40" s="83"/>
      <c r="U40" s="83"/>
      <c r="V40" s="82"/>
      <c r="W40" s="83"/>
      <c r="X40" s="98"/>
    </row>
    <row r="41" spans="2:80" x14ac:dyDescent="0.2">
      <c r="B41" s="81"/>
      <c r="C41" s="82"/>
      <c r="D41" s="82"/>
      <c r="E41" s="82"/>
      <c r="F41" s="82"/>
      <c r="G41" s="82"/>
      <c r="H41" s="82"/>
      <c r="I41" s="83"/>
      <c r="J41" s="83"/>
      <c r="K41" s="83"/>
      <c r="L41" s="81" t="str">
        <f>'General Data'!G18</f>
        <v>Study Period (years covered by the LCC analysis)</v>
      </c>
      <c r="M41" s="83">
        <f>'General Data'!H18</f>
        <v>25</v>
      </c>
      <c r="N41" s="83"/>
      <c r="O41" s="83"/>
      <c r="P41" s="83"/>
      <c r="Q41" s="82"/>
      <c r="R41" s="83"/>
      <c r="S41" s="83"/>
      <c r="T41" s="83"/>
      <c r="U41" s="83"/>
      <c r="V41" s="82"/>
      <c r="W41" s="83"/>
      <c r="X41" s="98"/>
    </row>
    <row r="42" spans="2:80" x14ac:dyDescent="0.2">
      <c r="B42" s="81"/>
      <c r="C42" s="82"/>
      <c r="D42" s="82"/>
      <c r="E42" s="82"/>
      <c r="F42" s="82"/>
      <c r="G42" s="82"/>
      <c r="H42" s="82"/>
      <c r="I42" s="83"/>
      <c r="J42" s="83"/>
      <c r="K42" s="83"/>
      <c r="L42" s="5" t="s">
        <v>196</v>
      </c>
      <c r="M42" s="1">
        <f>'General Data'!H13-'General Data'!H12</f>
        <v>0</v>
      </c>
      <c r="O42" s="83"/>
      <c r="P42" s="83"/>
      <c r="Q42" s="82"/>
      <c r="R42" s="83"/>
      <c r="S42" s="83"/>
      <c r="T42" s="83"/>
      <c r="U42" s="83"/>
      <c r="V42" s="82"/>
      <c r="W42" s="83"/>
      <c r="X42" s="98"/>
      <c r="AA42" s="251"/>
    </row>
    <row r="43" spans="2:80" x14ac:dyDescent="0.2">
      <c r="B43" s="81"/>
      <c r="C43" s="82"/>
      <c r="D43" s="82"/>
      <c r="E43" s="82"/>
      <c r="F43" s="82"/>
      <c r="G43" s="82"/>
      <c r="H43" s="82"/>
      <c r="I43" s="83"/>
      <c r="J43" s="83"/>
      <c r="K43" s="83"/>
      <c r="L43" s="81" t="str">
        <f>'General Data'!G21</f>
        <v>DOE Fuel Price Escalation Region</v>
      </c>
      <c r="M43" s="83">
        <f>'General Data'!H21</f>
        <v>4</v>
      </c>
      <c r="N43" s="96" t="str">
        <f>'General Data'!I20</f>
        <v>(West)</v>
      </c>
      <c r="O43" s="83"/>
      <c r="P43" s="83"/>
      <c r="Q43" s="83"/>
      <c r="R43" s="83"/>
      <c r="S43" s="83"/>
      <c r="T43" s="83"/>
      <c r="U43" s="83"/>
      <c r="V43" s="82"/>
      <c r="W43" s="83"/>
      <c r="X43" s="98"/>
      <c r="AA43" s="251"/>
    </row>
    <row r="44" spans="2:80" x14ac:dyDescent="0.2">
      <c r="B44" s="81"/>
      <c r="C44" s="82"/>
      <c r="D44" s="82"/>
      <c r="E44" s="83"/>
      <c r="F44" s="83"/>
      <c r="G44" s="83"/>
      <c r="H44" s="83"/>
      <c r="I44" s="83"/>
      <c r="J44" s="83"/>
      <c r="K44" s="83"/>
      <c r="L44" s="81" t="str">
        <f>'General Data'!G24</f>
        <v>Analysis Sector</v>
      </c>
      <c r="M44" s="83">
        <f>'General Data'!H24</f>
        <v>2</v>
      </c>
      <c r="N44" s="96" t="str">
        <f>'General Data'!I23</f>
        <v>(Commercial)</v>
      </c>
      <c r="O44" s="83"/>
      <c r="P44" s="83"/>
      <c r="Q44" s="83"/>
      <c r="R44" s="83"/>
      <c r="S44" s="83"/>
      <c r="T44" s="83"/>
      <c r="U44" s="83"/>
      <c r="V44" s="82"/>
      <c r="W44" s="83"/>
      <c r="X44" s="98"/>
      <c r="AA44" s="251"/>
    </row>
    <row r="45" spans="2:80" x14ac:dyDescent="0.2">
      <c r="B45" s="81"/>
      <c r="C45" s="82"/>
      <c r="D45" s="82"/>
      <c r="E45" s="83"/>
      <c r="F45" s="83"/>
      <c r="G45" s="83"/>
      <c r="H45" s="83"/>
      <c r="I45" s="83"/>
      <c r="J45" s="83"/>
      <c r="K45" s="83"/>
      <c r="L45" s="83"/>
      <c r="M45" s="83"/>
      <c r="N45" s="83"/>
      <c r="O45" s="83"/>
      <c r="P45" s="83"/>
      <c r="Q45" s="83"/>
      <c r="R45" s="83"/>
      <c r="S45" s="83"/>
      <c r="T45" s="83"/>
      <c r="U45" s="83"/>
      <c r="V45" s="82"/>
      <c r="W45" s="83"/>
      <c r="X45" s="98"/>
      <c r="AA45" s="251"/>
    </row>
    <row r="46" spans="2:80" x14ac:dyDescent="0.2">
      <c r="AA46" s="251"/>
    </row>
    <row r="47" spans="2:80" x14ac:dyDescent="0.2">
      <c r="AA47" s="251"/>
    </row>
    <row r="48" spans="2:80" x14ac:dyDescent="0.2">
      <c r="C48" s="345" t="s">
        <v>225</v>
      </c>
      <c r="D48" s="346" t="s">
        <v>259</v>
      </c>
      <c r="AA48" s="251"/>
    </row>
    <row r="49" spans="27:27" x14ac:dyDescent="0.2">
      <c r="AA49" s="251"/>
    </row>
    <row r="50" spans="27:27" x14ac:dyDescent="0.2">
      <c r="AA50" s="251"/>
    </row>
    <row r="51" spans="27:27" x14ac:dyDescent="0.2">
      <c r="AA51" s="251"/>
    </row>
    <row r="52" spans="27:27" x14ac:dyDescent="0.2">
      <c r="AA52" s="251"/>
    </row>
    <row r="53" spans="27:27" x14ac:dyDescent="0.2">
      <c r="AA53" s="251"/>
    </row>
    <row r="54" spans="27:27" x14ac:dyDescent="0.2">
      <c r="AA54" s="251"/>
    </row>
    <row r="55" spans="27:27" x14ac:dyDescent="0.2">
      <c r="AA55" s="251"/>
    </row>
    <row r="56" spans="27:27" x14ac:dyDescent="0.2">
      <c r="AA56" s="251"/>
    </row>
    <row r="57" spans="27:27" x14ac:dyDescent="0.2">
      <c r="AA57" s="251"/>
    </row>
    <row r="58" spans="27:27" x14ac:dyDescent="0.2">
      <c r="AA58" s="251"/>
    </row>
    <row r="59" spans="27:27" x14ac:dyDescent="0.2">
      <c r="AA59" s="251"/>
    </row>
    <row r="60" spans="27:27" x14ac:dyDescent="0.2">
      <c r="AA60" s="251"/>
    </row>
    <row r="61" spans="27:27" x14ac:dyDescent="0.2">
      <c r="AA61" s="251"/>
    </row>
    <row r="62" spans="27:27" x14ac:dyDescent="0.2">
      <c r="AA62" s="251"/>
    </row>
    <row r="63" spans="27:27" x14ac:dyDescent="0.2">
      <c r="AA63" s="251"/>
    </row>
    <row r="64" spans="27:27" x14ac:dyDescent="0.2">
      <c r="AA64" s="251"/>
    </row>
    <row r="65" spans="27:27" x14ac:dyDescent="0.2">
      <c r="AA65" s="251"/>
    </row>
    <row r="66" spans="27:27" x14ac:dyDescent="0.2">
      <c r="AA66" s="251"/>
    </row>
    <row r="67" spans="27:27" x14ac:dyDescent="0.2">
      <c r="AA67" s="251"/>
    </row>
    <row r="68" spans="27:27" x14ac:dyDescent="0.2">
      <c r="AA68" s="251"/>
    </row>
    <row r="69" spans="27:27" x14ac:dyDescent="0.2">
      <c r="AA69" s="251"/>
    </row>
    <row r="70" spans="27:27" x14ac:dyDescent="0.2">
      <c r="AA70" s="251"/>
    </row>
  </sheetData>
  <phoneticPr fontId="0" type="noConversion"/>
  <conditionalFormatting sqref="B25:B35 C25:C33 C36">
    <cfRule type="expression" dxfId="6" priority="1" stopIfTrue="1">
      <formula>IF($X25="*",TRUE,FLASE)</formula>
    </cfRule>
  </conditionalFormatting>
  <conditionalFormatting sqref="B12:B21 C12:C20">
    <cfRule type="expression" dxfId="5" priority="2" stopIfTrue="1">
      <formula>IF($X25="*",TRUE,FLASE)</formula>
    </cfRule>
  </conditionalFormatting>
  <conditionalFormatting sqref="AA36:BB36 AA25:BB34 D25:Q36">
    <cfRule type="cellIs" dxfId="4" priority="3" stopIfTrue="1" operator="greaterThan">
      <formula>0</formula>
    </cfRule>
    <cfRule type="cellIs" dxfId="3" priority="4" stopIfTrue="1" operator="lessThan">
      <formula>0</formula>
    </cfRule>
    <cfRule type="cellIs" dxfId="2" priority="5" stopIfTrue="1" operator="equal">
      <formula>0</formula>
    </cfRule>
  </conditionalFormatting>
  <printOptions horizontalCentered="1"/>
  <pageMargins left="0.25" right="0.25" top="0.5" bottom="0.5" header="0.5" footer="0.5"/>
  <pageSetup scale="70" orientation="landscape" horizontalDpi="4294967292" verticalDpi="300"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8:C28"/>
  <sheetViews>
    <sheetView showGridLines="0" zoomScale="125" workbookViewId="0">
      <selection activeCell="A26" sqref="A26"/>
    </sheetView>
  </sheetViews>
  <sheetFormatPr defaultRowHeight="12.75" x14ac:dyDescent="0.2"/>
  <sheetData>
    <row r="28" spans="2:3" x14ac:dyDescent="0.2">
      <c r="B28" s="352" t="s">
        <v>257</v>
      </c>
      <c r="C28" s="353" t="s">
        <v>258</v>
      </c>
    </row>
  </sheetData>
  <phoneticPr fontId="0" type="noConversion"/>
  <pageMargins left="0.75" right="0.75" top="1" bottom="1" header="0.5" footer="0.5"/>
  <pageSetup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G50"/>
  <sheetViews>
    <sheetView showGridLines="0" zoomScale="80" workbookViewId="0">
      <selection activeCell="G21" sqref="G21"/>
    </sheetView>
  </sheetViews>
  <sheetFormatPr defaultRowHeight="12.75" x14ac:dyDescent="0.2"/>
  <cols>
    <col min="1" max="4" width="17" style="1" customWidth="1"/>
    <col min="5" max="5" width="3.140625" style="1" customWidth="1"/>
  </cols>
  <sheetData>
    <row r="1" spans="1:7" s="22" customFormat="1" ht="21" x14ac:dyDescent="0.4">
      <c r="A1" s="19" t="s">
        <v>81</v>
      </c>
      <c r="B1" s="20"/>
      <c r="C1" s="18"/>
      <c r="D1" s="18"/>
      <c r="E1" s="21"/>
    </row>
    <row r="2" spans="1:7" s="22" customFormat="1" ht="18.75" x14ac:dyDescent="0.3">
      <c r="A2" s="23" t="s">
        <v>82</v>
      </c>
      <c r="B2" s="20"/>
      <c r="C2" s="18"/>
      <c r="D2" s="18"/>
      <c r="E2" s="21"/>
    </row>
    <row r="3" spans="1:7" ht="15.75" x14ac:dyDescent="0.25">
      <c r="A3" s="8"/>
      <c r="B3" s="4"/>
      <c r="C3" s="7"/>
      <c r="D3" s="7"/>
    </row>
    <row r="4" spans="1:7" x14ac:dyDescent="0.2">
      <c r="A4" s="1" t="s">
        <v>83</v>
      </c>
      <c r="B4" s="1" t="str">
        <f>"FEMP FY "&amp;'General Data'!$H$10</f>
        <v>FEMP FY 2015</v>
      </c>
      <c r="C4" s="4" t="s">
        <v>84</v>
      </c>
      <c r="D4" s="4"/>
      <c r="F4" t="s">
        <v>85</v>
      </c>
    </row>
    <row r="5" spans="1:7" ht="14.25" x14ac:dyDescent="0.2">
      <c r="A5" s="1" t="s">
        <v>86</v>
      </c>
      <c r="B5" s="1" t="s">
        <v>87</v>
      </c>
      <c r="C5" s="1" t="s">
        <v>88</v>
      </c>
      <c r="D5" s="1" t="s">
        <v>89</v>
      </c>
    </row>
    <row r="6" spans="1:7" x14ac:dyDescent="0.2">
      <c r="A6" s="1" t="s">
        <v>90</v>
      </c>
      <c r="B6" s="3">
        <f>'General Data'!M10</f>
        <v>0.03</v>
      </c>
      <c r="C6" s="3">
        <f>'General Data'!M13</f>
        <v>8.0000000000000002E-3</v>
      </c>
      <c r="D6" s="3">
        <f>'General Data'!M16</f>
        <v>2.3E-2</v>
      </c>
    </row>
    <row r="7" spans="1:7" x14ac:dyDescent="0.2">
      <c r="A7" s="14">
        <v>1</v>
      </c>
      <c r="B7" s="48">
        <f>1/(1+SPV_Femp_disc)^$A7</f>
        <v>0.970873786407767</v>
      </c>
      <c r="C7" s="48">
        <f>1/(1+SPV_OMBst_disc)^$A7</f>
        <v>0.99206349206349209</v>
      </c>
      <c r="D7" s="48">
        <f>1/(1+SPV_OMBlt_disc)^$A7</f>
        <v>0.97751710654936474</v>
      </c>
    </row>
    <row r="8" spans="1:7" x14ac:dyDescent="0.2">
      <c r="A8" s="14">
        <v>2</v>
      </c>
      <c r="B8" s="48">
        <f t="shared" ref="B8:B23" si="0">1/(1+SPV_Femp_disc)^$A8</f>
        <v>0.94259590913375435</v>
      </c>
      <c r="C8" s="48">
        <f t="shared" ref="C8:C16" si="1">1/(1+SPV_OMBst_disc)^$A8</f>
        <v>0.98418997228521032</v>
      </c>
      <c r="D8" s="48">
        <f t="shared" ref="D8:D23" si="2">1/(1+SPV_OMBlt_disc)^$A8</f>
        <v>0.95553969359664204</v>
      </c>
      <c r="F8" s="9" t="s">
        <v>91</v>
      </c>
      <c r="G8" t="s">
        <v>92</v>
      </c>
    </row>
    <row r="9" spans="1:7" x14ac:dyDescent="0.2">
      <c r="A9" s="14">
        <v>3</v>
      </c>
      <c r="B9" s="48">
        <f t="shared" si="0"/>
        <v>0.91514165935315961</v>
      </c>
      <c r="C9" s="48">
        <f t="shared" si="1"/>
        <v>0.97637894075913712</v>
      </c>
      <c r="D9" s="48">
        <f t="shared" si="2"/>
        <v>0.93405639647765604</v>
      </c>
      <c r="F9" s="10" t="s">
        <v>93</v>
      </c>
      <c r="G9" t="s">
        <v>94</v>
      </c>
    </row>
    <row r="10" spans="1:7" x14ac:dyDescent="0.2">
      <c r="A10" s="14">
        <v>4</v>
      </c>
      <c r="B10" s="48">
        <f t="shared" si="0"/>
        <v>0.888487047915689</v>
      </c>
      <c r="C10" s="48">
        <f t="shared" si="1"/>
        <v>0.96862990154676298</v>
      </c>
      <c r="D10" s="48">
        <f t="shared" si="2"/>
        <v>0.91305610603876453</v>
      </c>
      <c r="F10" s="10" t="s">
        <v>95</v>
      </c>
      <c r="G10" t="s">
        <v>96</v>
      </c>
    </row>
    <row r="11" spans="1:7" x14ac:dyDescent="0.2">
      <c r="A11" s="14">
        <v>5</v>
      </c>
      <c r="B11" s="48">
        <f t="shared" si="0"/>
        <v>0.86260878438416411</v>
      </c>
      <c r="C11" s="48">
        <f t="shared" si="1"/>
        <v>0.96094236264559829</v>
      </c>
      <c r="D11" s="48">
        <f t="shared" si="2"/>
        <v>0.89252796289224312</v>
      </c>
      <c r="F11" s="10" t="s">
        <v>97</v>
      </c>
      <c r="G11" t="s">
        <v>154</v>
      </c>
    </row>
    <row r="12" spans="1:7" x14ac:dyDescent="0.2">
      <c r="A12" s="14">
        <v>6</v>
      </c>
      <c r="B12" s="48">
        <f t="shared" si="0"/>
        <v>0.83748425668365445</v>
      </c>
      <c r="C12" s="48">
        <f t="shared" si="1"/>
        <v>0.95331583595793479</v>
      </c>
      <c r="D12" s="48">
        <f t="shared" si="2"/>
        <v>0.87246135180082407</v>
      </c>
    </row>
    <row r="13" spans="1:7" x14ac:dyDescent="0.2">
      <c r="A13" s="14">
        <v>7</v>
      </c>
      <c r="B13" s="48">
        <f t="shared" si="0"/>
        <v>0.81309151134335378</v>
      </c>
      <c r="C13" s="48">
        <f t="shared" si="1"/>
        <v>0.94574983725985573</v>
      </c>
      <c r="D13" s="48">
        <f t="shared" si="2"/>
        <v>0.85284589618848905</v>
      </c>
    </row>
    <row r="14" spans="1:7" x14ac:dyDescent="0.2">
      <c r="A14" s="14">
        <v>8</v>
      </c>
      <c r="B14" s="48">
        <f t="shared" si="0"/>
        <v>0.78940923431393573</v>
      </c>
      <c r="C14" s="48">
        <f t="shared" si="1"/>
        <v>0.93824388617049181</v>
      </c>
      <c r="D14" s="48">
        <f t="shared" si="2"/>
        <v>0.8336714527746717</v>
      </c>
    </row>
    <row r="15" spans="1:7" x14ac:dyDescent="0.2">
      <c r="A15" s="14">
        <v>9</v>
      </c>
      <c r="B15" s="48">
        <f t="shared" si="0"/>
        <v>0.76641673234362695</v>
      </c>
      <c r="C15" s="48">
        <f t="shared" si="1"/>
        <v>0.93079750612151957</v>
      </c>
      <c r="D15" s="48">
        <f t="shared" si="2"/>
        <v>0.8149281063291024</v>
      </c>
    </row>
    <row r="16" spans="1:7" x14ac:dyDescent="0.2">
      <c r="A16" s="14">
        <v>10</v>
      </c>
      <c r="B16" s="48">
        <f t="shared" si="0"/>
        <v>0.74409391489672516</v>
      </c>
      <c r="C16" s="48">
        <f t="shared" si="1"/>
        <v>0.92341022432690434</v>
      </c>
      <c r="D16" s="48">
        <f t="shared" si="2"/>
        <v>0.79660616454457722</v>
      </c>
    </row>
    <row r="17" spans="1:4" x14ac:dyDescent="0.2">
      <c r="A17" s="14">
        <v>11</v>
      </c>
      <c r="B17" s="48">
        <f t="shared" si="0"/>
        <v>0.72242127659876232</v>
      </c>
      <c r="C17" s="49" t="s">
        <v>49</v>
      </c>
      <c r="D17" s="48">
        <f t="shared" si="2"/>
        <v>0.77869615302500217</v>
      </c>
    </row>
    <row r="18" spans="1:4" x14ac:dyDescent="0.2">
      <c r="A18" s="14">
        <v>12</v>
      </c>
      <c r="B18" s="48">
        <f t="shared" si="0"/>
        <v>0.70137988019297326</v>
      </c>
      <c r="C18" s="49" t="s">
        <v>49</v>
      </c>
      <c r="D18" s="48">
        <f t="shared" si="2"/>
        <v>0.76118881038612141</v>
      </c>
    </row>
    <row r="19" spans="1:4" x14ac:dyDescent="0.2">
      <c r="A19" s="14">
        <v>13</v>
      </c>
      <c r="B19" s="48">
        <f t="shared" si="0"/>
        <v>0.68095133999317792</v>
      </c>
      <c r="C19" s="49" t="s">
        <v>49</v>
      </c>
      <c r="D19" s="48">
        <f t="shared" si="2"/>
        <v>0.7440750834663945</v>
      </c>
    </row>
    <row r="20" spans="1:4" x14ac:dyDescent="0.2">
      <c r="A20" s="14">
        <v>14</v>
      </c>
      <c r="B20" s="48">
        <f t="shared" si="0"/>
        <v>0.66111780581861923</v>
      </c>
      <c r="C20" s="49" t="s">
        <v>49</v>
      </c>
      <c r="D20" s="48">
        <f t="shared" si="2"/>
        <v>0.72734612264554688</v>
      </c>
    </row>
    <row r="21" spans="1:4" x14ac:dyDescent="0.2">
      <c r="A21" s="14">
        <v>15</v>
      </c>
      <c r="B21" s="48">
        <f t="shared" si="0"/>
        <v>0.64186194739671765</v>
      </c>
      <c r="C21" s="49" t="s">
        <v>49</v>
      </c>
      <c r="D21" s="48">
        <f t="shared" si="2"/>
        <v>0.71099327726837447</v>
      </c>
    </row>
    <row r="22" spans="1:4" x14ac:dyDescent="0.2">
      <c r="A22" s="14">
        <v>16</v>
      </c>
      <c r="B22" s="48">
        <f t="shared" si="0"/>
        <v>0.62316693922011435</v>
      </c>
      <c r="C22" s="49" t="s">
        <v>49</v>
      </c>
      <c r="D22" s="48">
        <f t="shared" si="2"/>
        <v>0.69500809117143159</v>
      </c>
    </row>
    <row r="23" spans="1:4" x14ac:dyDescent="0.2">
      <c r="A23" s="14">
        <v>17</v>
      </c>
      <c r="B23" s="48">
        <f t="shared" si="0"/>
        <v>0.60501644584477121</v>
      </c>
      <c r="C23" s="49" t="s">
        <v>49</v>
      </c>
      <c r="D23" s="48">
        <f t="shared" si="2"/>
        <v>0.67938229831029495</v>
      </c>
    </row>
    <row r="24" spans="1:4" x14ac:dyDescent="0.2">
      <c r="A24" s="14">
        <v>18</v>
      </c>
      <c r="B24" s="48">
        <f t="shared" ref="B24:B36" si="3">1/(1+SPV_Femp_disc)^$A24</f>
        <v>0.5873946076162827</v>
      </c>
      <c r="C24" s="49" t="s">
        <v>49</v>
      </c>
      <c r="D24" s="48">
        <f t="shared" ref="D24:D36" si="4">1/(1+SPV_OMBlt_disc)^$A24</f>
        <v>0.66410781848513678</v>
      </c>
    </row>
    <row r="25" spans="1:4" x14ac:dyDescent="0.2">
      <c r="A25" s="14">
        <v>19</v>
      </c>
      <c r="B25" s="48">
        <f t="shared" si="3"/>
        <v>0.57028602681192497</v>
      </c>
      <c r="C25" s="49" t="s">
        <v>49</v>
      </c>
      <c r="D25" s="48">
        <f t="shared" si="4"/>
        <v>0.64917675316240164</v>
      </c>
    </row>
    <row r="26" spans="1:4" x14ac:dyDescent="0.2">
      <c r="A26" s="14">
        <v>20</v>
      </c>
      <c r="B26" s="48">
        <f t="shared" si="3"/>
        <v>0.55367575418633497</v>
      </c>
      <c r="C26" s="49" t="s">
        <v>49</v>
      </c>
      <c r="D26" s="48">
        <f t="shared" si="4"/>
        <v>0.63458138139042197</v>
      </c>
    </row>
    <row r="27" spans="1:4" x14ac:dyDescent="0.2">
      <c r="A27" s="14">
        <v>21</v>
      </c>
      <c r="B27" s="48">
        <f t="shared" si="3"/>
        <v>0.5375492759090631</v>
      </c>
      <c r="C27" s="49" t="s">
        <v>49</v>
      </c>
      <c r="D27" s="48">
        <f t="shared" si="4"/>
        <v>0.62031415580686422</v>
      </c>
    </row>
    <row r="28" spans="1:4" x14ac:dyDescent="0.2">
      <c r="A28" s="14">
        <v>22</v>
      </c>
      <c r="B28" s="48">
        <f t="shared" si="3"/>
        <v>0.52189250088258554</v>
      </c>
      <c r="C28" s="49" t="s">
        <v>49</v>
      </c>
      <c r="D28" s="48">
        <f t="shared" si="4"/>
        <v>0.60636769873593765</v>
      </c>
    </row>
    <row r="29" spans="1:4" x14ac:dyDescent="0.2">
      <c r="A29" s="14">
        <v>23</v>
      </c>
      <c r="B29" s="48">
        <f t="shared" si="3"/>
        <v>0.50669174842969467</v>
      </c>
      <c r="C29" s="49" t="s">
        <v>49</v>
      </c>
      <c r="D29" s="48">
        <f t="shared" si="4"/>
        <v>0.59273479837335075</v>
      </c>
    </row>
    <row r="30" spans="1:4" x14ac:dyDescent="0.2">
      <c r="A30" s="14">
        <v>24</v>
      </c>
      <c r="B30" s="48">
        <f t="shared" si="3"/>
        <v>0.49193373633950943</v>
      </c>
      <c r="C30" s="49" t="s">
        <v>49</v>
      </c>
      <c r="D30" s="48">
        <f t="shared" si="4"/>
        <v>0.57940840505703883</v>
      </c>
    </row>
    <row r="31" spans="1:4" x14ac:dyDescent="0.2">
      <c r="A31" s="14">
        <v>25</v>
      </c>
      <c r="B31" s="48">
        <f t="shared" si="3"/>
        <v>0.47760556926165965</v>
      </c>
      <c r="C31" s="49" t="s">
        <v>49</v>
      </c>
      <c r="D31" s="48">
        <f t="shared" si="4"/>
        <v>0.56638162762173894</v>
      </c>
    </row>
    <row r="32" spans="1:4" x14ac:dyDescent="0.2">
      <c r="A32" s="14">
        <v>26</v>
      </c>
      <c r="B32" s="48">
        <f t="shared" si="3"/>
        <v>0.46369472743850448</v>
      </c>
      <c r="C32" s="49" t="s">
        <v>49</v>
      </c>
      <c r="D32" s="48">
        <f t="shared" si="4"/>
        <v>0.55364772983552202</v>
      </c>
    </row>
    <row r="33" spans="1:4" x14ac:dyDescent="0.2">
      <c r="A33" s="14">
        <v>27</v>
      </c>
      <c r="B33" s="48">
        <f t="shared" si="3"/>
        <v>0.45018905576553836</v>
      </c>
      <c r="C33" s="49" t="s">
        <v>49</v>
      </c>
      <c r="D33" s="48">
        <f t="shared" si="4"/>
        <v>0.54120012691644381</v>
      </c>
    </row>
    <row r="34" spans="1:4" x14ac:dyDescent="0.2">
      <c r="A34" s="14">
        <v>28</v>
      </c>
      <c r="B34" s="48">
        <f t="shared" si="3"/>
        <v>0.4370767531704256</v>
      </c>
      <c r="C34" s="49" t="s">
        <v>49</v>
      </c>
      <c r="D34" s="48">
        <f t="shared" si="4"/>
        <v>0.52903238212751102</v>
      </c>
    </row>
    <row r="35" spans="1:4" x14ac:dyDescent="0.2">
      <c r="A35" s="14">
        <v>29</v>
      </c>
      <c r="B35" s="48">
        <f t="shared" si="3"/>
        <v>0.42434636230138412</v>
      </c>
      <c r="C35" s="49" t="s">
        <v>49</v>
      </c>
      <c r="D35" s="48">
        <f t="shared" si="4"/>
        <v>0.51713820344820249</v>
      </c>
    </row>
    <row r="36" spans="1:4" x14ac:dyDescent="0.2">
      <c r="A36" s="14">
        <v>30</v>
      </c>
      <c r="B36" s="48">
        <f t="shared" si="3"/>
        <v>0.41198675951590691</v>
      </c>
      <c r="C36" s="49" t="s">
        <v>49</v>
      </c>
      <c r="D36" s="48">
        <f t="shared" si="4"/>
        <v>0.50551144032082351</v>
      </c>
    </row>
    <row r="38" spans="1:4" x14ac:dyDescent="0.2">
      <c r="A38" s="6" t="s">
        <v>98</v>
      </c>
    </row>
    <row r="39" spans="1:4" x14ac:dyDescent="0.2">
      <c r="A39" s="6" t="s">
        <v>99</v>
      </c>
      <c r="B39"/>
    </row>
    <row r="40" spans="1:4" x14ac:dyDescent="0.2">
      <c r="A40" s="6" t="s">
        <v>100</v>
      </c>
      <c r="B40"/>
    </row>
    <row r="43" spans="1:4" x14ac:dyDescent="0.2">
      <c r="A43" s="5" t="s">
        <v>85</v>
      </c>
      <c r="B43"/>
    </row>
    <row r="44" spans="1:4" x14ac:dyDescent="0.2">
      <c r="A44"/>
      <c r="B44"/>
    </row>
    <row r="45" spans="1:4" x14ac:dyDescent="0.2">
      <c r="A45"/>
      <c r="B45"/>
    </row>
    <row r="46" spans="1:4" x14ac:dyDescent="0.2">
      <c r="A46"/>
      <c r="B46"/>
    </row>
    <row r="47" spans="1:4" x14ac:dyDescent="0.2">
      <c r="A47" s="10" t="s">
        <v>91</v>
      </c>
      <c r="B47" t="s">
        <v>101</v>
      </c>
    </row>
    <row r="48" spans="1:4" x14ac:dyDescent="0.2">
      <c r="A48" s="10" t="s">
        <v>102</v>
      </c>
      <c r="B48" t="s">
        <v>103</v>
      </c>
    </row>
    <row r="49" spans="1:2" x14ac:dyDescent="0.2">
      <c r="A49" s="10" t="s">
        <v>95</v>
      </c>
      <c r="B49" t="s">
        <v>96</v>
      </c>
    </row>
    <row r="50" spans="1:2" x14ac:dyDescent="0.2">
      <c r="A50" s="10" t="s">
        <v>97</v>
      </c>
      <c r="B50" t="s">
        <v>154</v>
      </c>
    </row>
  </sheetData>
  <sheetProtection sheet="1" objects="1" scenarios="1"/>
  <phoneticPr fontId="0" type="noConversion"/>
  <printOptions horizontalCentered="1"/>
  <pageMargins left="0.5" right="0.5" top="0.75" bottom="0.5" header="0.5" footer="0.5"/>
  <pageSetup orientation="portrait" horizontalDpi="4294967292" verticalDpi="300"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G51"/>
  <sheetViews>
    <sheetView showGridLines="0" zoomScale="80" workbookViewId="0">
      <selection activeCell="B5" sqref="B5"/>
    </sheetView>
  </sheetViews>
  <sheetFormatPr defaultRowHeight="12.75" x14ac:dyDescent="0.2"/>
  <cols>
    <col min="1" max="4" width="17.140625" style="1" customWidth="1"/>
    <col min="5" max="5" width="3.140625" style="1" customWidth="1"/>
  </cols>
  <sheetData>
    <row r="1" spans="1:7" ht="21" x14ac:dyDescent="0.4">
      <c r="A1" s="17" t="s">
        <v>104</v>
      </c>
      <c r="B1" s="4"/>
      <c r="C1" s="7"/>
      <c r="D1" s="7"/>
    </row>
    <row r="2" spans="1:7" ht="18.75" x14ac:dyDescent="0.3">
      <c r="A2" s="18" t="s">
        <v>105</v>
      </c>
      <c r="B2" s="4"/>
      <c r="C2" s="7"/>
      <c r="D2" s="7"/>
    </row>
    <row r="3" spans="1:7" ht="18.75" x14ac:dyDescent="0.3">
      <c r="A3" s="18" t="s">
        <v>106</v>
      </c>
      <c r="B3" s="4"/>
      <c r="C3" s="7"/>
      <c r="D3" s="7"/>
    </row>
    <row r="4" spans="1:7" ht="15.75" x14ac:dyDescent="0.25">
      <c r="A4" s="8"/>
      <c r="B4" s="4"/>
      <c r="C4" s="7"/>
      <c r="D4" s="7"/>
    </row>
    <row r="5" spans="1:7" x14ac:dyDescent="0.2">
      <c r="A5" s="1" t="s">
        <v>83</v>
      </c>
      <c r="B5" s="1" t="str">
        <f>"FEMP FY "&amp;'General Data'!$H$10</f>
        <v>FEMP FY 2015</v>
      </c>
      <c r="C5" s="4" t="s">
        <v>84</v>
      </c>
      <c r="D5" s="4"/>
      <c r="F5" t="s">
        <v>85</v>
      </c>
    </row>
    <row r="6" spans="1:7" ht="14.25" x14ac:dyDescent="0.2">
      <c r="A6" s="1" t="s">
        <v>86</v>
      </c>
      <c r="B6" s="1" t="s">
        <v>87</v>
      </c>
      <c r="C6" s="1" t="s">
        <v>88</v>
      </c>
      <c r="D6" s="1" t="s">
        <v>89</v>
      </c>
    </row>
    <row r="7" spans="1:7" x14ac:dyDescent="0.2">
      <c r="A7" s="1" t="s">
        <v>90</v>
      </c>
      <c r="B7" s="3">
        <f>'General Data'!M10</f>
        <v>0.03</v>
      </c>
      <c r="C7" s="3">
        <f>'General Data'!M13</f>
        <v>8.0000000000000002E-3</v>
      </c>
      <c r="D7" s="3">
        <f>'General Data'!M16</f>
        <v>2.3E-2</v>
      </c>
    </row>
    <row r="8" spans="1:7" x14ac:dyDescent="0.2">
      <c r="A8" s="14">
        <v>1</v>
      </c>
      <c r="B8" s="15">
        <f>((1+UPV_Femp_disc)^$A8-1)/(UPV_Femp_disc*(1+UPV_Femp_disc)^$A8)</f>
        <v>0.97087378640776789</v>
      </c>
      <c r="C8" s="15">
        <f>((1+UPV_OMBst_disc)^$A8-1)/(UPV_OMBst_disc*(1+UPV_OMBst_disc)^$A8)</f>
        <v>0.99206349206349298</v>
      </c>
      <c r="D8" s="15">
        <f>((1+UPV_OMBlt_disc)^$A8-1)/(UPV_OMBlt_disc*(1+UPV_OMBlt_disc)^$A8)</f>
        <v>0.97751710654936086</v>
      </c>
    </row>
    <row r="9" spans="1:7" x14ac:dyDescent="0.2">
      <c r="A9" s="14">
        <v>2</v>
      </c>
      <c r="B9" s="15">
        <f t="shared" ref="B9:B24" si="0">((1+UPV_Femp_disc)^$A9-1)/(UPV_Femp_disc*(1+UPV_Femp_disc)^$A9)</f>
        <v>1.9134696955415202</v>
      </c>
      <c r="C9" s="15">
        <f t="shared" ref="C9:C17" si="1">((1+UPV_OMBst_disc)^$A9-1)/(UPV_OMBst_disc*(1+UPV_OMBst_disc)^$A9)</f>
        <v>1.9762534643487117</v>
      </c>
      <c r="D9" s="15">
        <f t="shared" ref="D9:D24" si="2">((1+UPV_OMBlt_disc)^$A9-1)/(UPV_OMBlt_disc*(1+UPV_OMBlt_disc)^$A9)</f>
        <v>1.9330568001459993</v>
      </c>
      <c r="F9" s="9" t="s">
        <v>91</v>
      </c>
      <c r="G9" t="s">
        <v>101</v>
      </c>
    </row>
    <row r="10" spans="1:7" x14ac:dyDescent="0.2">
      <c r="A10" s="14">
        <v>3</v>
      </c>
      <c r="B10" s="15">
        <f t="shared" si="0"/>
        <v>2.8286113548946807</v>
      </c>
      <c r="C10" s="15">
        <f t="shared" si="1"/>
        <v>2.9526324051078592</v>
      </c>
      <c r="D10" s="15">
        <f t="shared" si="2"/>
        <v>2.8671131966236501</v>
      </c>
      <c r="F10" s="10" t="s">
        <v>102</v>
      </c>
      <c r="G10" t="s">
        <v>103</v>
      </c>
    </row>
    <row r="11" spans="1:7" x14ac:dyDescent="0.2">
      <c r="A11" s="14">
        <v>4</v>
      </c>
      <c r="B11" s="15">
        <f t="shared" si="0"/>
        <v>3.7170984028103682</v>
      </c>
      <c r="C11" s="15">
        <f t="shared" si="1"/>
        <v>3.9212623066546271</v>
      </c>
      <c r="D11" s="15">
        <f t="shared" si="2"/>
        <v>3.7801693026624124</v>
      </c>
      <c r="F11" s="10" t="s">
        <v>95</v>
      </c>
      <c r="G11" t="s">
        <v>96</v>
      </c>
    </row>
    <row r="12" spans="1:7" x14ac:dyDescent="0.2">
      <c r="A12" s="14">
        <v>5</v>
      </c>
      <c r="B12" s="15">
        <f t="shared" si="0"/>
        <v>4.5797071871945301</v>
      </c>
      <c r="C12" s="15">
        <f t="shared" si="1"/>
        <v>4.8822046693002168</v>
      </c>
      <c r="D12" s="15">
        <f t="shared" si="2"/>
        <v>4.6726972655546479</v>
      </c>
      <c r="F12" s="10" t="s">
        <v>97</v>
      </c>
      <c r="G12" t="s">
        <v>154</v>
      </c>
    </row>
    <row r="13" spans="1:7" x14ac:dyDescent="0.2">
      <c r="A13" s="14">
        <v>6</v>
      </c>
      <c r="B13" s="15">
        <f t="shared" si="0"/>
        <v>5.4171914438781865</v>
      </c>
      <c r="C13" s="15">
        <f t="shared" si="1"/>
        <v>5.8355205052581569</v>
      </c>
      <c r="D13" s="15">
        <f t="shared" si="2"/>
        <v>5.5451586173554741</v>
      </c>
    </row>
    <row r="14" spans="1:7" x14ac:dyDescent="0.2">
      <c r="A14" s="14">
        <v>7</v>
      </c>
      <c r="B14" s="15">
        <f t="shared" si="0"/>
        <v>6.2302829552215409</v>
      </c>
      <c r="C14" s="15">
        <f t="shared" si="1"/>
        <v>6.7812703425180327</v>
      </c>
      <c r="D14" s="15">
        <f t="shared" si="2"/>
        <v>6.3980045135439543</v>
      </c>
    </row>
    <row r="15" spans="1:7" x14ac:dyDescent="0.2">
      <c r="A15" s="14">
        <v>8</v>
      </c>
      <c r="B15" s="15">
        <f t="shared" si="0"/>
        <v>7.0196921895354745</v>
      </c>
      <c r="C15" s="15">
        <f t="shared" si="1"/>
        <v>7.7195142286885252</v>
      </c>
      <c r="D15" s="15">
        <f t="shared" si="2"/>
        <v>7.2316759663186243</v>
      </c>
    </row>
    <row r="16" spans="1:7" x14ac:dyDescent="0.2">
      <c r="A16" s="14">
        <v>9</v>
      </c>
      <c r="B16" s="15">
        <f t="shared" si="0"/>
        <v>7.7861089218791015</v>
      </c>
      <c r="C16" s="15">
        <f t="shared" si="1"/>
        <v>8.6503117348100531</v>
      </c>
      <c r="D16" s="15">
        <f t="shared" si="2"/>
        <v>8.0466040726477228</v>
      </c>
    </row>
    <row r="17" spans="1:4" x14ac:dyDescent="0.2">
      <c r="A17" s="14">
        <v>10</v>
      </c>
      <c r="B17" s="15">
        <f t="shared" si="0"/>
        <v>8.5302028367758282</v>
      </c>
      <c r="C17" s="15">
        <f t="shared" si="1"/>
        <v>9.5737219591369573</v>
      </c>
      <c r="D17" s="15">
        <f t="shared" si="2"/>
        <v>8.8432102371922952</v>
      </c>
    </row>
    <row r="18" spans="1:4" x14ac:dyDescent="0.2">
      <c r="A18" s="14">
        <v>11</v>
      </c>
      <c r="B18" s="15">
        <f t="shared" si="0"/>
        <v>9.2526241133745906</v>
      </c>
      <c r="C18" s="16" t="s">
        <v>49</v>
      </c>
      <c r="D18" s="15">
        <f t="shared" si="2"/>
        <v>9.6219063902172959</v>
      </c>
    </row>
    <row r="19" spans="1:4" x14ac:dyDescent="0.2">
      <c r="A19" s="14">
        <v>12</v>
      </c>
      <c r="B19" s="15">
        <f t="shared" si="0"/>
        <v>9.954003993567559</v>
      </c>
      <c r="C19" s="16" t="s">
        <v>49</v>
      </c>
      <c r="D19" s="15">
        <f t="shared" si="2"/>
        <v>10.383095200603416</v>
      </c>
    </row>
    <row r="20" spans="1:4" x14ac:dyDescent="0.2">
      <c r="A20" s="14">
        <v>13</v>
      </c>
      <c r="B20" s="15">
        <f t="shared" si="0"/>
        <v>10.634955333560736</v>
      </c>
      <c r="C20" s="16" t="s">
        <v>49</v>
      </c>
      <c r="D20" s="15">
        <f t="shared" si="2"/>
        <v>11.127170284069805</v>
      </c>
    </row>
    <row r="21" spans="1:4" x14ac:dyDescent="0.2">
      <c r="A21" s="14">
        <v>14</v>
      </c>
      <c r="B21" s="15">
        <f t="shared" si="0"/>
        <v>11.296073139379359</v>
      </c>
      <c r="C21" s="16" t="s">
        <v>49</v>
      </c>
      <c r="D21" s="15">
        <f t="shared" si="2"/>
        <v>11.854516406715353</v>
      </c>
    </row>
    <row r="22" spans="1:4" x14ac:dyDescent="0.2">
      <c r="A22" s="14">
        <v>15</v>
      </c>
      <c r="B22" s="15">
        <f t="shared" si="0"/>
        <v>11.937935086776077</v>
      </c>
      <c r="C22" s="16" t="s">
        <v>49</v>
      </c>
      <c r="D22" s="15">
        <f t="shared" si="2"/>
        <v>12.565509683983716</v>
      </c>
    </row>
    <row r="23" spans="1:4" x14ac:dyDescent="0.2">
      <c r="A23" s="14">
        <v>16</v>
      </c>
      <c r="B23" s="15">
        <f t="shared" si="0"/>
        <v>12.561102025996188</v>
      </c>
      <c r="C23" s="16" t="s">
        <v>49</v>
      </c>
      <c r="D23" s="15">
        <f t="shared" si="2"/>
        <v>13.260517775155146</v>
      </c>
    </row>
    <row r="24" spans="1:4" x14ac:dyDescent="0.2">
      <c r="A24" s="14">
        <v>17</v>
      </c>
      <c r="B24" s="15">
        <f t="shared" si="0"/>
        <v>13.16611847184096</v>
      </c>
      <c r="C24" s="16" t="s">
        <v>49</v>
      </c>
      <c r="D24" s="15">
        <f t="shared" si="2"/>
        <v>13.93990007346544</v>
      </c>
    </row>
    <row r="25" spans="1:4" x14ac:dyDescent="0.2">
      <c r="A25" s="14">
        <v>18</v>
      </c>
      <c r="B25" s="15">
        <f t="shared" ref="B25:B37" si="3">((1+UPV_Femp_disc)^$A25-1)/(UPV_Femp_disc*(1+UPV_Femp_disc)^$A25)</f>
        <v>13.753513079457242</v>
      </c>
      <c r="C25" s="16" t="s">
        <v>49</v>
      </c>
      <c r="D25" s="15">
        <f t="shared" ref="D25:D37" si="4">((1+UPV_OMBlt_disc)^$A25-1)/(UPV_OMBlt_disc*(1+UPV_OMBlt_disc)^$A25)</f>
        <v>14.604007891950577</v>
      </c>
    </row>
    <row r="26" spans="1:4" x14ac:dyDescent="0.2">
      <c r="A26" s="14">
        <v>19</v>
      </c>
      <c r="B26" s="15">
        <f t="shared" si="3"/>
        <v>14.323799106269167</v>
      </c>
      <c r="C26" s="16" t="s">
        <v>49</v>
      </c>
      <c r="D26" s="15">
        <f t="shared" si="4"/>
        <v>15.253184645112972</v>
      </c>
    </row>
    <row r="27" spans="1:4" x14ac:dyDescent="0.2">
      <c r="A27" s="14">
        <v>20</v>
      </c>
      <c r="B27" s="15">
        <f t="shared" si="3"/>
        <v>14.877474860455502</v>
      </c>
      <c r="C27" s="16" t="s">
        <v>49</v>
      </c>
      <c r="D27" s="15">
        <f t="shared" si="4"/>
        <v>15.887766026503394</v>
      </c>
    </row>
    <row r="28" spans="1:4" x14ac:dyDescent="0.2">
      <c r="A28" s="14">
        <v>21</v>
      </c>
      <c r="B28" s="15">
        <f t="shared" si="3"/>
        <v>15.415024136364563</v>
      </c>
      <c r="C28" s="16" t="s">
        <v>49</v>
      </c>
      <c r="D28" s="15">
        <f t="shared" si="4"/>
        <v>16.508080182310252</v>
      </c>
    </row>
    <row r="29" spans="1:4" x14ac:dyDescent="0.2">
      <c r="A29" s="14">
        <v>22</v>
      </c>
      <c r="B29" s="15">
        <f t="shared" si="3"/>
        <v>15.936916637247149</v>
      </c>
      <c r="C29" s="16" t="s">
        <v>49</v>
      </c>
      <c r="D29" s="15">
        <f t="shared" si="4"/>
        <v>17.114447881046193</v>
      </c>
    </row>
    <row r="30" spans="1:4" x14ac:dyDescent="0.2">
      <c r="A30" s="14">
        <v>23</v>
      </c>
      <c r="B30" s="15">
        <f t="shared" si="3"/>
        <v>16.443608385676846</v>
      </c>
      <c r="C30" s="16" t="s">
        <v>49</v>
      </c>
      <c r="D30" s="15">
        <f t="shared" si="4"/>
        <v>17.707182679419535</v>
      </c>
    </row>
    <row r="31" spans="1:4" x14ac:dyDescent="0.2">
      <c r="A31" s="14">
        <v>24</v>
      </c>
      <c r="B31" s="15">
        <f t="shared" si="3"/>
        <v>16.935542122016354</v>
      </c>
      <c r="C31" s="16" t="s">
        <v>49</v>
      </c>
      <c r="D31" s="15">
        <f t="shared" si="4"/>
        <v>18.286591084476573</v>
      </c>
    </row>
    <row r="32" spans="1:4" x14ac:dyDescent="0.2">
      <c r="A32" s="14">
        <v>25</v>
      </c>
      <c r="B32" s="15">
        <f t="shared" si="3"/>
        <v>17.413147691278013</v>
      </c>
      <c r="C32" s="16" t="s">
        <v>49</v>
      </c>
      <c r="D32" s="15">
        <f t="shared" si="4"/>
        <v>18.85297271209831</v>
      </c>
    </row>
    <row r="33" spans="1:4" x14ac:dyDescent="0.2">
      <c r="A33" s="14">
        <v>26</v>
      </c>
      <c r="B33" s="15">
        <f t="shared" si="3"/>
        <v>17.876842418716517</v>
      </c>
      <c r="C33" s="16" t="s">
        <v>49</v>
      </c>
      <c r="D33" s="15">
        <f t="shared" si="4"/>
        <v>19.406620441933828</v>
      </c>
    </row>
    <row r="34" spans="1:4" x14ac:dyDescent="0.2">
      <c r="A34" s="14">
        <v>27</v>
      </c>
      <c r="B34" s="15">
        <f t="shared" si="3"/>
        <v>18.327031474482055</v>
      </c>
      <c r="C34" s="16" t="s">
        <v>49</v>
      </c>
      <c r="D34" s="15">
        <f t="shared" si="4"/>
        <v>19.947820568850268</v>
      </c>
    </row>
    <row r="35" spans="1:4" x14ac:dyDescent="0.2">
      <c r="A35" s="14">
        <v>28</v>
      </c>
      <c r="B35" s="15">
        <f t="shared" si="3"/>
        <v>18.764108227652482</v>
      </c>
      <c r="C35" s="16" t="s">
        <v>49</v>
      </c>
      <c r="D35" s="15">
        <f t="shared" si="4"/>
        <v>20.476852950977779</v>
      </c>
    </row>
    <row r="36" spans="1:4" x14ac:dyDescent="0.2">
      <c r="A36" s="14">
        <v>29</v>
      </c>
      <c r="B36" s="15">
        <f t="shared" si="3"/>
        <v>19.188454589953864</v>
      </c>
      <c r="C36" s="16" t="s">
        <v>49</v>
      </c>
      <c r="D36" s="15">
        <f t="shared" si="4"/>
        <v>20.993991154425981</v>
      </c>
    </row>
    <row r="37" spans="1:4" x14ac:dyDescent="0.2">
      <c r="A37" s="14">
        <v>30</v>
      </c>
      <c r="B37" s="15">
        <f t="shared" si="3"/>
        <v>19.600441349469772</v>
      </c>
      <c r="C37" s="16" t="s">
        <v>49</v>
      </c>
      <c r="D37" s="15">
        <f t="shared" si="4"/>
        <v>21.499502594746804</v>
      </c>
    </row>
    <row r="39" spans="1:4" x14ac:dyDescent="0.2">
      <c r="A39" s="6" t="s">
        <v>98</v>
      </c>
    </row>
    <row r="40" spans="1:4" x14ac:dyDescent="0.2">
      <c r="A40" s="6" t="s">
        <v>99</v>
      </c>
      <c r="B40"/>
    </row>
    <row r="41" spans="1:4" x14ac:dyDescent="0.2">
      <c r="A41" s="6" t="s">
        <v>100</v>
      </c>
      <c r="B41"/>
    </row>
    <row r="44" spans="1:4" x14ac:dyDescent="0.2">
      <c r="A44" s="5" t="s">
        <v>85</v>
      </c>
      <c r="B44"/>
    </row>
    <row r="45" spans="1:4" x14ac:dyDescent="0.2">
      <c r="A45"/>
      <c r="B45"/>
    </row>
    <row r="46" spans="1:4" x14ac:dyDescent="0.2">
      <c r="A46"/>
      <c r="B46"/>
    </row>
    <row r="47" spans="1:4" x14ac:dyDescent="0.2">
      <c r="A47"/>
      <c r="B47"/>
    </row>
    <row r="48" spans="1:4" x14ac:dyDescent="0.2">
      <c r="A48" s="10" t="s">
        <v>91</v>
      </c>
      <c r="B48" t="s">
        <v>101</v>
      </c>
    </row>
    <row r="49" spans="1:2" x14ac:dyDescent="0.2">
      <c r="A49" s="10" t="s">
        <v>102</v>
      </c>
      <c r="B49" t="s">
        <v>103</v>
      </c>
    </row>
    <row r="50" spans="1:2" x14ac:dyDescent="0.2">
      <c r="A50" s="10" t="s">
        <v>95</v>
      </c>
      <c r="B50" t="s">
        <v>96</v>
      </c>
    </row>
    <row r="51" spans="1:2" x14ac:dyDescent="0.2">
      <c r="A51" s="10" t="s">
        <v>97</v>
      </c>
      <c r="B51" t="s">
        <v>154</v>
      </c>
    </row>
  </sheetData>
  <sheetProtection sheet="1" objects="1" scenarios="1"/>
  <phoneticPr fontId="0" type="noConversion"/>
  <printOptions horizontalCentered="1"/>
  <pageMargins left="0.5" right="0.5" top="0.65" bottom="0.5" header="0.5" footer="0.5"/>
  <pageSetup orientation="portrait" horizontalDpi="4294967292" verticalDpi="300"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X212"/>
  <sheetViews>
    <sheetView showGridLines="0" zoomScale="75" workbookViewId="0"/>
  </sheetViews>
  <sheetFormatPr defaultRowHeight="12.75" x14ac:dyDescent="0.2"/>
  <cols>
    <col min="1" max="1" width="4.85546875" style="1" customWidth="1"/>
    <col min="2" max="2" width="2" style="33" customWidth="1"/>
    <col min="3" max="3" width="7.7109375" style="27" customWidth="1"/>
    <col min="4" max="6" width="7.7109375" style="1" customWidth="1"/>
    <col min="7" max="7" width="2.28515625" style="1" customWidth="1"/>
    <col min="8" max="12" width="7.7109375" style="1" customWidth="1"/>
    <col min="13" max="13" width="3.140625" style="1" customWidth="1"/>
    <col min="14" max="18" width="7.7109375" style="1" customWidth="1"/>
    <col min="19" max="19" width="2" style="33" customWidth="1"/>
    <col min="20" max="21" width="4.85546875" style="1" customWidth="1"/>
    <col min="22" max="28" width="10.140625" customWidth="1"/>
  </cols>
  <sheetData>
    <row r="1" spans="1:24" ht="21" x14ac:dyDescent="0.4">
      <c r="A1" s="17" t="s">
        <v>107</v>
      </c>
      <c r="B1" s="34"/>
      <c r="C1" s="26"/>
      <c r="D1" s="7"/>
      <c r="E1" s="7"/>
      <c r="F1" s="7"/>
      <c r="G1" s="7"/>
      <c r="H1" s="7"/>
      <c r="I1" s="7"/>
      <c r="J1" s="7"/>
      <c r="K1" s="7"/>
      <c r="L1" s="7"/>
      <c r="M1" s="4"/>
      <c r="N1" s="4"/>
      <c r="O1" s="4"/>
      <c r="P1" s="4"/>
      <c r="Q1" s="4"/>
      <c r="R1" s="4"/>
      <c r="S1" s="34"/>
      <c r="T1" s="4"/>
      <c r="U1" s="17"/>
    </row>
    <row r="2" spans="1:24" ht="18.75" x14ac:dyDescent="0.3">
      <c r="A2" s="18" t="s">
        <v>108</v>
      </c>
      <c r="B2" s="35"/>
      <c r="C2" s="26"/>
      <c r="D2" s="7"/>
      <c r="E2" s="7"/>
      <c r="F2" s="7"/>
      <c r="G2" s="7"/>
      <c r="H2" s="7"/>
      <c r="I2" s="7"/>
      <c r="J2" s="7"/>
      <c r="K2" s="7"/>
      <c r="L2" s="7"/>
      <c r="M2" s="4"/>
      <c r="N2" s="4"/>
      <c r="O2" s="4"/>
      <c r="P2" s="4"/>
      <c r="Q2" s="4"/>
      <c r="R2" s="4"/>
      <c r="S2" s="35"/>
      <c r="T2" s="4"/>
      <c r="U2" s="18"/>
    </row>
    <row r="3" spans="1:24" ht="18.75" x14ac:dyDescent="0.3">
      <c r="A3" s="18"/>
      <c r="B3" s="35"/>
      <c r="C3" s="26"/>
      <c r="D3" s="7"/>
      <c r="E3" s="7"/>
      <c r="F3" s="7"/>
      <c r="G3" s="7"/>
      <c r="H3" s="7"/>
      <c r="I3"/>
      <c r="J3"/>
      <c r="K3"/>
      <c r="L3"/>
      <c r="M3" s="28" t="str">
        <f>"DOE discount rate ("&amp;'General Data'!$H$10&amp;" data) ="</f>
        <v>DOE discount rate (2015 data) =</v>
      </c>
      <c r="N3" s="39">
        <f>'General Data'!$M$10</f>
        <v>0.03</v>
      </c>
      <c r="O3" s="4"/>
      <c r="P3" s="4"/>
      <c r="Q3" s="4"/>
      <c r="R3" s="4"/>
      <c r="S3" s="35"/>
      <c r="T3" s="4"/>
      <c r="U3" s="18"/>
      <c r="X3" s="1"/>
    </row>
    <row r="4" spans="1:24" ht="4.5" customHeight="1" x14ac:dyDescent="0.3">
      <c r="A4" s="18"/>
      <c r="B4" s="35"/>
      <c r="C4" s="26"/>
      <c r="D4" s="7"/>
      <c r="E4" s="7"/>
      <c r="F4" s="7"/>
      <c r="G4" s="7"/>
      <c r="H4" s="7"/>
      <c r="I4"/>
      <c r="J4"/>
      <c r="K4" s="28"/>
      <c r="L4" s="36"/>
      <c r="M4" s="4"/>
      <c r="N4" s="4"/>
      <c r="O4" s="4"/>
      <c r="P4" s="4"/>
      <c r="Q4" s="4"/>
      <c r="R4" s="4"/>
      <c r="S4" s="35"/>
      <c r="T4" s="4"/>
      <c r="U4" s="18"/>
      <c r="X4" s="1"/>
    </row>
    <row r="5" spans="1:24" ht="15.75" customHeight="1" x14ac:dyDescent="0.25">
      <c r="A5" s="31" t="s">
        <v>109</v>
      </c>
      <c r="B5" s="4"/>
      <c r="C5" s="4"/>
      <c r="D5" s="4"/>
      <c r="E5" s="4"/>
      <c r="F5" s="4"/>
      <c r="G5" s="4"/>
      <c r="H5" s="4"/>
      <c r="I5" s="4"/>
      <c r="J5" s="4"/>
      <c r="K5" s="4"/>
      <c r="L5" s="4"/>
      <c r="M5" s="4"/>
      <c r="N5" s="4"/>
      <c r="O5" s="4"/>
      <c r="P5" s="4"/>
      <c r="Q5" s="4"/>
      <c r="R5" s="4"/>
      <c r="S5" s="4"/>
      <c r="T5" s="31"/>
      <c r="U5"/>
    </row>
    <row r="6" spans="1:24" ht="15" x14ac:dyDescent="0.2">
      <c r="A6" s="37" t="s">
        <v>110</v>
      </c>
      <c r="B6" s="4"/>
      <c r="C6" s="4"/>
      <c r="D6" s="4"/>
      <c r="E6" s="4"/>
      <c r="F6" s="4"/>
      <c r="G6" s="4"/>
      <c r="H6" s="4"/>
      <c r="I6" s="4"/>
      <c r="J6" s="4"/>
      <c r="K6" s="4"/>
      <c r="L6" s="4"/>
      <c r="M6" s="4"/>
      <c r="N6" s="4"/>
      <c r="O6" s="4"/>
      <c r="P6" s="4"/>
      <c r="Q6" s="4"/>
      <c r="R6" s="4"/>
      <c r="S6" s="4"/>
      <c r="T6" s="4"/>
      <c r="U6"/>
    </row>
    <row r="7" spans="1:24" ht="4.5" customHeight="1" x14ac:dyDescent="0.2">
      <c r="D7" s="4"/>
      <c r="E7" s="4"/>
      <c r="F7" s="4"/>
      <c r="G7" s="12"/>
      <c r="H7" s="12"/>
      <c r="I7" s="12"/>
      <c r="J7" s="12"/>
      <c r="K7" s="12"/>
      <c r="L7" s="12"/>
      <c r="N7" s="12"/>
      <c r="O7" s="12"/>
      <c r="P7" s="12"/>
      <c r="Q7" s="12"/>
      <c r="R7" s="12"/>
    </row>
    <row r="8" spans="1:24" x14ac:dyDescent="0.2">
      <c r="A8"/>
      <c r="C8" s="29" t="s">
        <v>111</v>
      </c>
      <c r="D8" s="4"/>
      <c r="E8" s="4"/>
      <c r="F8" s="4"/>
      <c r="G8" s="12"/>
      <c r="H8" s="29" t="s">
        <v>112</v>
      </c>
      <c r="I8" s="4"/>
      <c r="J8" s="4"/>
      <c r="K8" s="4"/>
      <c r="L8" s="4"/>
      <c r="N8" s="29" t="s">
        <v>113</v>
      </c>
      <c r="O8" s="4"/>
      <c r="P8" s="4"/>
      <c r="Q8" s="4"/>
      <c r="R8" s="4"/>
      <c r="T8"/>
    </row>
    <row r="9" spans="1:24" x14ac:dyDescent="0.2">
      <c r="A9" s="1" t="s">
        <v>114</v>
      </c>
      <c r="C9" s="32" t="str">
        <f>'DOE Fuel Esc Rates'!C230</f>
        <v>Electric</v>
      </c>
      <c r="D9" s="32" t="str">
        <f>'DOE Fuel Esc Rates'!D230</f>
        <v>Dist</v>
      </c>
      <c r="E9" s="32" t="str">
        <f>'DOE Fuel Esc Rates'!E230</f>
        <v>Nat Gas</v>
      </c>
      <c r="F9" s="32" t="str">
        <f>'DOE Fuel Esc Rates'!F230</f>
        <v>LPG</v>
      </c>
      <c r="G9" s="32"/>
      <c r="H9" s="32" t="str">
        <f>'DOE Fuel Esc Rates'!H230</f>
        <v>Electric</v>
      </c>
      <c r="I9" s="32" t="str">
        <f>'DOE Fuel Esc Rates'!I230</f>
        <v>Dist</v>
      </c>
      <c r="J9" s="32" t="str">
        <f>'DOE Fuel Esc Rates'!J230</f>
        <v>Resid</v>
      </c>
      <c r="K9" s="32" t="str">
        <f>'DOE Fuel Esc Rates'!K230</f>
        <v>Nat Gas</v>
      </c>
      <c r="L9" s="32" t="str">
        <f>'DOE Fuel Esc Rates'!L230</f>
        <v>Coal</v>
      </c>
      <c r="M9" s="32"/>
      <c r="N9" s="32" t="str">
        <f>'DOE Fuel Esc Rates'!N230</f>
        <v>Electric</v>
      </c>
      <c r="O9" s="32" t="str">
        <f>'DOE Fuel Esc Rates'!O230</f>
        <v>Dist</v>
      </c>
      <c r="P9" s="32" t="str">
        <f>'DOE Fuel Esc Rates'!P230</f>
        <v>Resid</v>
      </c>
      <c r="Q9" s="32" t="str">
        <f>'DOE Fuel Esc Rates'!Q230</f>
        <v>Nat Gas</v>
      </c>
      <c r="R9" s="32" t="str">
        <f>'DOE Fuel Esc Rates'!R230</f>
        <v>Coal</v>
      </c>
      <c r="T9" s="1" t="s">
        <v>114</v>
      </c>
    </row>
    <row r="10" spans="1:24" x14ac:dyDescent="0.2">
      <c r="A10" s="33">
        <v>1</v>
      </c>
      <c r="C10" s="15">
        <f>('DOE Fuel Esc Rates'!C231)/((1+DOEUPV_femp_disc)^$A10)</f>
        <v>0.96445124757816758</v>
      </c>
      <c r="D10" s="15">
        <f>('DOE Fuel Esc Rates'!D231)/((1+DOEUPV_femp_disc)^$A10)</f>
        <v>0.95519920962134008</v>
      </c>
      <c r="E10" s="15">
        <f>('DOE Fuel Esc Rates'!E231)/((1+DOEUPV_femp_disc)^$A10)</f>
        <v>0.97291773122125691</v>
      </c>
      <c r="F10" s="15">
        <f>('DOE Fuel Esc Rates'!F231)/((1+DOEUPV_femp_disc)^$A10)</f>
        <v>0.97817358931308862</v>
      </c>
      <c r="G10"/>
      <c r="H10" s="15">
        <f>('DOE Fuel Esc Rates'!H231)/((1+DOEUPV_femp_disc)^$A10)</f>
        <v>0.95648227075976144</v>
      </c>
      <c r="I10" s="15">
        <f>('DOE Fuel Esc Rates'!I231)/((1+DOEUPV_femp_disc)^$A10)</f>
        <v>0.95473331539947659</v>
      </c>
      <c r="J10" s="15">
        <f>('DOE Fuel Esc Rates'!J231)/((1+DOEUPV_femp_disc)^$A10)</f>
        <v>0.97902616171348122</v>
      </c>
      <c r="K10" s="15">
        <f>('DOE Fuel Esc Rates'!K231)/((1+DOEUPV_femp_disc)^$A10)</f>
        <v>0.9893260659739963</v>
      </c>
      <c r="L10" s="15">
        <f>('DOE Fuel Esc Rates'!L231)/((1+DOEUPV_femp_disc)^$A10)</f>
        <v>0.97716794385611561</v>
      </c>
      <c r="N10" s="15">
        <f>('DOE Fuel Esc Rates'!N231)/((1+DOEUPV_femp_disc)^$A10)</f>
        <v>0.92962422657075305</v>
      </c>
      <c r="O10" s="15">
        <f>('DOE Fuel Esc Rates'!O231)/((1+DOEUPV_femp_disc)^$A10)</f>
        <v>0.9556144734583325</v>
      </c>
      <c r="P10" s="15">
        <f>('DOE Fuel Esc Rates'!P231)/((1+DOEUPV_femp_disc)^$A10)</f>
        <v>0.97991919435566532</v>
      </c>
      <c r="Q10" s="15">
        <f>('DOE Fuel Esc Rates'!Q231)/((1+DOEUPV_femp_disc)^$A10)</f>
        <v>0.98969959390043838</v>
      </c>
      <c r="R10" s="15">
        <f>('DOE Fuel Esc Rates'!R231)/((1+DOEUPV_femp_disc)^$A10)</f>
        <v>0.970873786407767</v>
      </c>
      <c r="T10" s="33">
        <v>1</v>
      </c>
      <c r="U10" s="33"/>
    </row>
    <row r="11" spans="1:24" x14ac:dyDescent="0.2">
      <c r="A11" s="33">
        <v>2</v>
      </c>
      <c r="C11" s="15">
        <f>('DOE Fuel Esc Rates'!C232)/((1+DOEUPV_femp_disc)^$A11)+C10</f>
        <v>1.9018509278853855</v>
      </c>
      <c r="D11" s="15">
        <f>('DOE Fuel Esc Rates'!D232)/((1+DOEUPV_femp_disc)^$A11)+D10</f>
        <v>1.9226973590159666</v>
      </c>
      <c r="E11" s="15">
        <f>('DOE Fuel Esc Rates'!E232)/((1+DOEUPV_femp_disc)^$A11)+E10</f>
        <v>1.9710771886828957</v>
      </c>
      <c r="F11" s="15">
        <f>('DOE Fuel Esc Rates'!F232)/((1+DOEUPV_femp_disc)^$A11)+F10</f>
        <v>1.9532213560228766</v>
      </c>
      <c r="G11"/>
      <c r="H11" s="15">
        <f>('DOE Fuel Esc Rates'!H232)/((1+DOEUPV_femp_disc)^$A11)+H10</f>
        <v>1.8832249419690885</v>
      </c>
      <c r="I11" s="15">
        <f>('DOE Fuel Esc Rates'!I232)/((1+DOEUPV_femp_disc)^$A11)+I10</f>
        <v>1.9035023967341069</v>
      </c>
      <c r="J11" s="15">
        <f>('DOE Fuel Esc Rates'!J232)/((1+DOEUPV_femp_disc)^$A11)+J10</f>
        <v>1.9748679466303636</v>
      </c>
      <c r="K11" s="15">
        <f>('DOE Fuel Esc Rates'!K232)/((1+DOEUPV_femp_disc)^$A11)+K10</f>
        <v>2.00909357000759</v>
      </c>
      <c r="L11" s="15">
        <f>('DOE Fuel Esc Rates'!L232)/((1+DOEUPV_femp_disc)^$A11)+L10</f>
        <v>1.939624058530776</v>
      </c>
      <c r="N11" s="15">
        <f>('DOE Fuel Esc Rates'!N232)/((1+DOEUPV_femp_disc)^$A11)+N10</f>
        <v>1.8197994305678806</v>
      </c>
      <c r="O11" s="15">
        <f>('DOE Fuel Esc Rates'!O232)/((1+DOEUPV_femp_disc)^$A11)+O10</f>
        <v>1.9278401164744836</v>
      </c>
      <c r="P11" s="15">
        <f>('DOE Fuel Esc Rates'!P232)/((1+DOEUPV_femp_disc)^$A11)+P10</f>
        <v>1.992038870079254</v>
      </c>
      <c r="Q11" s="15">
        <f>('DOE Fuel Esc Rates'!Q232)/((1+DOEUPV_femp_disc)^$A11)+Q10</f>
        <v>2.1255146090616104</v>
      </c>
      <c r="R11" s="15">
        <f>('DOE Fuel Esc Rates'!R232)/((1+DOEUPV_femp_disc)^$A11)+R10</f>
        <v>1.9163088398461412</v>
      </c>
      <c r="T11" s="33">
        <v>2</v>
      </c>
      <c r="U11" s="33"/>
    </row>
    <row r="12" spans="1:24" x14ac:dyDescent="0.2">
      <c r="A12" s="33">
        <v>3</v>
      </c>
      <c r="C12" s="15">
        <f>('DOE Fuel Esc Rates'!C233)/((1+DOEUPV_femp_disc)^$A12)+C11</f>
        <v>2.8268805566560324</v>
      </c>
      <c r="D12" s="15">
        <f>('DOE Fuel Esc Rates'!D233)/((1+DOEUPV_femp_disc)^$A12)+D11</f>
        <v>2.8687317651868209</v>
      </c>
      <c r="E12" s="15">
        <f>('DOE Fuel Esc Rates'!E233)/((1+DOEUPV_femp_disc)^$A12)+E11</f>
        <v>2.991219312109207</v>
      </c>
      <c r="F12" s="15">
        <f>('DOE Fuel Esc Rates'!F233)/((1+DOEUPV_femp_disc)^$A12)+F11</f>
        <v>2.908923310527423</v>
      </c>
      <c r="G12"/>
      <c r="H12" s="15">
        <f>('DOE Fuel Esc Rates'!H233)/((1+DOEUPV_femp_disc)^$A12)+H11</f>
        <v>2.7934100187886934</v>
      </c>
      <c r="I12" s="15">
        <f>('DOE Fuel Esc Rates'!I233)/((1+DOEUPV_femp_disc)^$A12)+I11</f>
        <v>2.826942569874852</v>
      </c>
      <c r="J12" s="15">
        <f>('DOE Fuel Esc Rates'!J233)/((1+DOEUPV_femp_disc)^$A12)+J11</f>
        <v>2.9438003752737472</v>
      </c>
      <c r="K12" s="15">
        <f>('DOE Fuel Esc Rates'!K233)/((1+DOEUPV_femp_disc)^$A12)+K11</f>
        <v>3.0433106791888651</v>
      </c>
      <c r="L12" s="15">
        <f>('DOE Fuel Esc Rates'!L233)/((1+DOEUPV_femp_disc)^$A12)+L11</f>
        <v>2.8799803178985286</v>
      </c>
      <c r="N12" s="15">
        <f>('DOE Fuel Esc Rates'!N233)/((1+DOEUPV_femp_disc)^$A12)+N11</f>
        <v>2.6919499791534998</v>
      </c>
      <c r="O12" s="15">
        <f>('DOE Fuel Esc Rates'!O233)/((1+DOEUPV_femp_disc)^$A12)+O11</f>
        <v>2.8816370718514013</v>
      </c>
      <c r="P12" s="15">
        <f>('DOE Fuel Esc Rates'!P233)/((1+DOEUPV_femp_disc)^$A12)+P11</f>
        <v>2.9817844690535953</v>
      </c>
      <c r="Q12" s="15">
        <f>('DOE Fuel Esc Rates'!Q233)/((1+DOEUPV_femp_disc)^$A12)+Q11</f>
        <v>3.4006288878833257</v>
      </c>
      <c r="R12" s="15">
        <f>('DOE Fuel Esc Rates'!R233)/((1+DOEUPV_femp_disc)^$A12)+R11</f>
        <v>2.8342069499804849</v>
      </c>
      <c r="T12" s="33">
        <v>3</v>
      </c>
      <c r="U12" s="33"/>
    </row>
    <row r="13" spans="1:24" x14ac:dyDescent="0.2">
      <c r="A13" s="33">
        <v>4</v>
      </c>
      <c r="C13" s="15">
        <f>('DOE Fuel Esc Rates'!C234)/((1+DOEUPV_femp_disc)^$A13)+C12</f>
        <v>3.7557266634186082</v>
      </c>
      <c r="D13" s="15">
        <f>('DOE Fuel Esc Rates'!D234)/((1+DOEUPV_femp_disc)^$A13)+D12</f>
        <v>3.7959053822142987</v>
      </c>
      <c r="E13" s="15">
        <f>('DOE Fuel Esc Rates'!E234)/((1+DOEUPV_femp_disc)^$A13)+E12</f>
        <v>4.0461807753185717</v>
      </c>
      <c r="F13" s="15">
        <f>('DOE Fuel Esc Rates'!F234)/((1+DOEUPV_femp_disc)^$A13)+F12</f>
        <v>3.8434696395182826</v>
      </c>
      <c r="G13"/>
      <c r="H13" s="15">
        <f>('DOE Fuel Esc Rates'!H234)/((1+DOEUPV_femp_disc)^$A13)+H12</f>
        <v>3.7100105394291947</v>
      </c>
      <c r="I13" s="15">
        <f>('DOE Fuel Esc Rates'!I234)/((1+DOEUPV_femp_disc)^$A13)+I12</f>
        <v>3.7333336389072302</v>
      </c>
      <c r="J13" s="15">
        <f>('DOE Fuel Esc Rates'!J234)/((1+DOEUPV_femp_disc)^$A13)+J12</f>
        <v>3.8980761587984603</v>
      </c>
      <c r="K13" s="15">
        <f>('DOE Fuel Esc Rates'!K234)/((1+DOEUPV_femp_disc)^$A13)+K12</f>
        <v>4.122744504946084</v>
      </c>
      <c r="L13" s="15">
        <f>('DOE Fuel Esc Rates'!L234)/((1+DOEUPV_femp_disc)^$A13)+L12</f>
        <v>3.7972675942717768</v>
      </c>
      <c r="N13" s="15">
        <f>('DOE Fuel Esc Rates'!N234)/((1+DOEUPV_femp_disc)^$A13)+N12</f>
        <v>3.5641711156565701</v>
      </c>
      <c r="O13" s="15">
        <f>('DOE Fuel Esc Rates'!O234)/((1+DOEUPV_femp_disc)^$A13)+O12</f>
        <v>3.8181268581122403</v>
      </c>
      <c r="P13" s="15">
        <f>('DOE Fuel Esc Rates'!P234)/((1+DOEUPV_femp_disc)^$A13)+P12</f>
        <v>3.956498909041847</v>
      </c>
      <c r="Q13" s="15">
        <f>('DOE Fuel Esc Rates'!Q234)/((1+DOEUPV_femp_disc)^$A13)+Q12</f>
        <v>4.7961196251913467</v>
      </c>
      <c r="R13" s="15">
        <f>('DOE Fuel Esc Rates'!R234)/((1+DOEUPV_femp_disc)^$A13)+R12</f>
        <v>3.730722495317099</v>
      </c>
      <c r="T13" s="33">
        <v>4</v>
      </c>
      <c r="U13" s="33"/>
    </row>
    <row r="14" spans="1:24" x14ac:dyDescent="0.2">
      <c r="A14" s="33">
        <v>5</v>
      </c>
      <c r="C14" s="15">
        <f>('DOE Fuel Esc Rates'!C235)/((1+DOEUPV_femp_disc)^$A14)+C13</f>
        <v>4.6932787468209334</v>
      </c>
      <c r="D14" s="15">
        <f>('DOE Fuel Esc Rates'!D235)/((1+DOEUPV_femp_disc)^$A14)+D13</f>
        <v>4.7070464612189022</v>
      </c>
      <c r="E14" s="15">
        <f>('DOE Fuel Esc Rates'!E235)/((1+DOEUPV_femp_disc)^$A14)+E13</f>
        <v>5.125803769668857</v>
      </c>
      <c r="F14" s="15">
        <f>('DOE Fuel Esc Rates'!F235)/((1+DOEUPV_femp_disc)^$A14)+F13</f>
        <v>4.7548924548351472</v>
      </c>
      <c r="G14"/>
      <c r="H14" s="15">
        <f>('DOE Fuel Esc Rates'!H235)/((1+DOEUPV_femp_disc)^$A14)+H13</f>
        <v>4.6345855192708303</v>
      </c>
      <c r="I14" s="15">
        <f>('DOE Fuel Esc Rates'!I235)/((1+DOEUPV_femp_disc)^$A14)+I13</f>
        <v>4.6259273130256551</v>
      </c>
      <c r="J14" s="15">
        <f>('DOE Fuel Esc Rates'!J235)/((1+DOEUPV_femp_disc)^$A14)+J13</f>
        <v>4.8416779817164048</v>
      </c>
      <c r="K14" s="15">
        <f>('DOE Fuel Esc Rates'!K235)/((1+DOEUPV_femp_disc)^$A14)+K13</f>
        <v>5.2401003279934075</v>
      </c>
      <c r="L14" s="15">
        <f>('DOE Fuel Esc Rates'!L235)/((1+DOEUPV_femp_disc)^$A14)+L13</f>
        <v>4.6990223202487398</v>
      </c>
      <c r="N14" s="15">
        <f>('DOE Fuel Esc Rates'!N235)/((1+DOEUPV_femp_disc)^$A14)+N13</f>
        <v>4.443465942156628</v>
      </c>
      <c r="O14" s="15">
        <f>('DOE Fuel Esc Rates'!O235)/((1+DOEUPV_femp_disc)^$A14)+O13</f>
        <v>4.7404742665623019</v>
      </c>
      <c r="P14" s="15">
        <f>('DOE Fuel Esc Rates'!P235)/((1+DOEUPV_femp_disc)^$A14)+P13</f>
        <v>4.920236518303347</v>
      </c>
      <c r="Q14" s="15">
        <f>('DOE Fuel Esc Rates'!Q235)/((1+DOEUPV_femp_disc)^$A14)+Q13</f>
        <v>6.270439902102785</v>
      </c>
      <c r="R14" s="15">
        <f>('DOE Fuel Esc Rates'!R235)/((1+DOEUPV_femp_disc)^$A14)+R13</f>
        <v>4.6141170335418451</v>
      </c>
      <c r="T14" s="33">
        <v>5</v>
      </c>
      <c r="U14" s="33"/>
    </row>
    <row r="15" spans="1:24" x14ac:dyDescent="0.2">
      <c r="A15" s="33">
        <v>6</v>
      </c>
      <c r="C15" s="15">
        <f>('DOE Fuel Esc Rates'!C236)/((1+DOEUPV_femp_disc)^$A15)+C14</f>
        <v>5.6395343876692339</v>
      </c>
      <c r="D15" s="15">
        <f>('DOE Fuel Esc Rates'!D236)/((1+DOEUPV_femp_disc)^$A15)+D14</f>
        <v>5.6059899343910828</v>
      </c>
      <c r="E15" s="15">
        <f>('DOE Fuel Esc Rates'!E236)/((1+DOEUPV_femp_disc)^$A15)+E14</f>
        <v>6.2198226776103462</v>
      </c>
      <c r="F15" s="15">
        <f>('DOE Fuel Esc Rates'!F236)/((1+DOEUPV_femp_disc)^$A15)+F14</f>
        <v>5.6430831188288924</v>
      </c>
      <c r="G15"/>
      <c r="H15" s="15">
        <f>('DOE Fuel Esc Rates'!H236)/((1+DOEUPV_femp_disc)^$A15)+H14</f>
        <v>5.569235138688307</v>
      </c>
      <c r="I15" s="15">
        <f>('DOE Fuel Esc Rates'!I236)/((1+DOEUPV_femp_disc)^$A15)+I14</f>
        <v>5.5077117444961026</v>
      </c>
      <c r="J15" s="15">
        <f>('DOE Fuel Esc Rates'!J236)/((1+DOEUPV_femp_disc)^$A15)+J14</f>
        <v>5.7782538870916369</v>
      </c>
      <c r="K15" s="15">
        <f>('DOE Fuel Esc Rates'!K236)/((1+DOEUPV_femp_disc)^$A15)+K14</f>
        <v>6.3800094551461592</v>
      </c>
      <c r="L15" s="15">
        <f>('DOE Fuel Esc Rates'!L236)/((1+DOEUPV_femp_disc)^$A15)+L14</f>
        <v>5.5840137876032667</v>
      </c>
      <c r="N15" s="15">
        <f>('DOE Fuel Esc Rates'!N236)/((1+DOEUPV_femp_disc)^$A15)+N14</f>
        <v>5.3347574775080409</v>
      </c>
      <c r="O15" s="15">
        <f>('DOE Fuel Esc Rates'!O236)/((1+DOEUPV_femp_disc)^$A15)+O14</f>
        <v>5.6515880330427999</v>
      </c>
      <c r="P15" s="15">
        <f>('DOE Fuel Esc Rates'!P236)/((1+DOEUPV_femp_disc)^$A15)+P14</f>
        <v>5.8760609416923</v>
      </c>
      <c r="Q15" s="15">
        <f>('DOE Fuel Esc Rates'!Q236)/((1+DOEUPV_femp_disc)^$A15)+Q14</f>
        <v>7.7969347522353187</v>
      </c>
      <c r="R15" s="15">
        <f>('DOE Fuel Esc Rates'!R236)/((1+DOEUPV_femp_disc)^$A15)+R14</f>
        <v>5.4869168914109547</v>
      </c>
      <c r="T15" s="33">
        <v>6</v>
      </c>
      <c r="U15" s="33"/>
    </row>
    <row r="16" spans="1:24" x14ac:dyDescent="0.2">
      <c r="A16" s="33">
        <v>7</v>
      </c>
      <c r="C16" s="15">
        <f>('DOE Fuel Esc Rates'!C237)/((1+DOEUPV_femp_disc)^$A16)+C15</f>
        <v>6.5804614552612772</v>
      </c>
      <c r="D16" s="15">
        <f>('DOE Fuel Esc Rates'!D237)/((1+DOEUPV_femp_disc)^$A16)+D15</f>
        <v>6.4950601534969516</v>
      </c>
      <c r="E16" s="15">
        <f>('DOE Fuel Esc Rates'!E237)/((1+DOEUPV_femp_disc)^$A16)+E15</f>
        <v>7.3136447318175097</v>
      </c>
      <c r="F16" s="15">
        <f>('DOE Fuel Esc Rates'!F237)/((1+DOEUPV_femp_disc)^$A16)+F15</f>
        <v>6.508943529206797</v>
      </c>
      <c r="G16"/>
      <c r="H16" s="15">
        <f>('DOE Fuel Esc Rates'!H237)/((1+DOEUPV_femp_disc)^$A16)+H15</f>
        <v>6.4991448147172513</v>
      </c>
      <c r="I16" s="15">
        <f>('DOE Fuel Esc Rates'!I237)/((1+DOEUPV_femp_disc)^$A16)+I15</f>
        <v>6.3830651750959753</v>
      </c>
      <c r="J16" s="15">
        <f>('DOE Fuel Esc Rates'!J237)/((1+DOEUPV_femp_disc)^$A16)+J15</f>
        <v>6.7086540210639178</v>
      </c>
      <c r="K16" s="15">
        <f>('DOE Fuel Esc Rates'!K237)/((1+DOEUPV_femp_disc)^$A16)+K15</f>
        <v>7.5259454448172018</v>
      </c>
      <c r="L16" s="15">
        <f>('DOE Fuel Esc Rates'!L237)/((1+DOEUPV_femp_disc)^$A16)+L15</f>
        <v>6.4458644333383619</v>
      </c>
      <c r="N16" s="15">
        <f>('DOE Fuel Esc Rates'!N237)/((1+DOEUPV_femp_disc)^$A16)+N15</f>
        <v>6.222838775907932</v>
      </c>
      <c r="O16" s="15">
        <f>('DOE Fuel Esc Rates'!O237)/((1+DOEUPV_femp_disc)^$A16)+O15</f>
        <v>6.5569310861937735</v>
      </c>
      <c r="P16" s="15">
        <f>('DOE Fuel Esc Rates'!P237)/((1+DOEUPV_femp_disc)^$A16)+P15</f>
        <v>6.8261406967945888</v>
      </c>
      <c r="Q16" s="15">
        <f>('DOE Fuel Esc Rates'!Q237)/((1+DOEUPV_femp_disc)^$A16)+Q15</f>
        <v>9.3465385190060317</v>
      </c>
      <c r="R16" s="15">
        <f>('DOE Fuel Esc Rates'!R237)/((1+DOEUPV_femp_disc)^$A16)+R15</f>
        <v>6.3465407482829947</v>
      </c>
      <c r="T16" s="33">
        <v>7</v>
      </c>
      <c r="U16" s="33"/>
    </row>
    <row r="17" spans="1:21" x14ac:dyDescent="0.2">
      <c r="A17" s="33">
        <v>8</v>
      </c>
      <c r="C17" s="15">
        <f>('DOE Fuel Esc Rates'!C238)/((1+DOEUPV_femp_disc)^$A17)+C16</f>
        <v>7.5103454970925991</v>
      </c>
      <c r="D17" s="15">
        <f>('DOE Fuel Esc Rates'!D238)/((1+DOEUPV_femp_disc)^$A17)+D16</f>
        <v>7.3748420692343029</v>
      </c>
      <c r="E17" s="15">
        <f>('DOE Fuel Esc Rates'!E238)/((1+DOEUPV_femp_disc)^$A17)+E16</f>
        <v>8.4013675609932381</v>
      </c>
      <c r="F17" s="15">
        <f>('DOE Fuel Esc Rates'!F238)/((1+DOEUPV_femp_disc)^$A17)+F16</f>
        <v>7.354582942458805</v>
      </c>
      <c r="G17"/>
      <c r="H17" s="15">
        <f>('DOE Fuel Esc Rates'!H238)/((1+DOEUPV_femp_disc)^$A17)+H16</f>
        <v>7.4186220471593103</v>
      </c>
      <c r="I17" s="15">
        <f>('DOE Fuel Esc Rates'!I238)/((1+DOEUPV_femp_disc)^$A17)+I16</f>
        <v>7.2508188019337627</v>
      </c>
      <c r="J17" s="15">
        <f>('DOE Fuel Esc Rates'!J238)/((1+DOEUPV_femp_disc)^$A17)+J16</f>
        <v>7.6336488108897891</v>
      </c>
      <c r="K17" s="15">
        <f>('DOE Fuel Esc Rates'!K238)/((1+DOEUPV_femp_disc)^$A17)+K16</f>
        <v>8.66851144185053</v>
      </c>
      <c r="L17" s="15">
        <f>('DOE Fuel Esc Rates'!L238)/((1+DOEUPV_femp_disc)^$A17)+L16</f>
        <v>7.2851714960773277</v>
      </c>
      <c r="N17" s="15">
        <f>('DOE Fuel Esc Rates'!N238)/((1+DOEUPV_femp_disc)^$A17)+N16</f>
        <v>7.1014144418697631</v>
      </c>
      <c r="O17" s="15">
        <f>('DOE Fuel Esc Rates'!O238)/((1+DOEUPV_femp_disc)^$A17)+O16</f>
        <v>7.4537402998323454</v>
      </c>
      <c r="P17" s="15">
        <f>('DOE Fuel Esc Rates'!P238)/((1+DOEUPV_femp_disc)^$A17)+P16</f>
        <v>7.7706124592773334</v>
      </c>
      <c r="Q17" s="15">
        <f>('DOE Fuel Esc Rates'!Q238)/((1+DOEUPV_femp_disc)^$A17)+Q16</f>
        <v>10.905676425005579</v>
      </c>
      <c r="R17" s="15">
        <f>('DOE Fuel Esc Rates'!R238)/((1+DOEUPV_femp_disc)^$A17)+R16</f>
        <v>7.185882494405945</v>
      </c>
      <c r="T17" s="33">
        <v>8</v>
      </c>
      <c r="U17" s="33"/>
    </row>
    <row r="18" spans="1:21" x14ac:dyDescent="0.2">
      <c r="A18" s="33">
        <v>9</v>
      </c>
      <c r="C18" s="15">
        <f>('DOE Fuel Esc Rates'!C239)/((1+DOEUPV_femp_disc)^$A18)+C17</f>
        <v>8.423454561007178</v>
      </c>
      <c r="D18" s="15">
        <f>('DOE Fuel Esc Rates'!D239)/((1+DOEUPV_femp_disc)^$A18)+D17</f>
        <v>8.2454974765248608</v>
      </c>
      <c r="E18" s="15">
        <f>('DOE Fuel Esc Rates'!E239)/((1+DOEUPV_femp_disc)^$A18)+E17</f>
        <v>9.4791915130049063</v>
      </c>
      <c r="F18" s="15">
        <f>('DOE Fuel Esc Rates'!F239)/((1+DOEUPV_femp_disc)^$A18)+F17</f>
        <v>8.1801414487664239</v>
      </c>
      <c r="G18"/>
      <c r="H18" s="15">
        <f>('DOE Fuel Esc Rates'!H239)/((1+DOEUPV_femp_disc)^$A18)+H17</f>
        <v>8.3204944163481631</v>
      </c>
      <c r="I18" s="15">
        <f>('DOE Fuel Esc Rates'!I239)/((1+DOEUPV_femp_disc)^$A18)+I17</f>
        <v>8.110672737918275</v>
      </c>
      <c r="J18" s="15">
        <f>('DOE Fuel Esc Rates'!J239)/((1+DOEUPV_femp_disc)^$A18)+J17</f>
        <v>8.553348889702141</v>
      </c>
      <c r="K18" s="15">
        <f>('DOE Fuel Esc Rates'!K239)/((1+DOEUPV_femp_disc)^$A18)+K17</f>
        <v>9.8024496481834973</v>
      </c>
      <c r="L18" s="15">
        <f>('DOE Fuel Esc Rates'!L239)/((1+DOEUPV_femp_disc)^$A18)+L17</f>
        <v>8.1000327220374881</v>
      </c>
      <c r="N18" s="15">
        <f>('DOE Fuel Esc Rates'!N239)/((1+DOEUPV_femp_disc)^$A18)+N17</f>
        <v>7.9634016199391411</v>
      </c>
      <c r="O18" s="15">
        <f>('DOE Fuel Esc Rates'!O239)/((1+DOEUPV_femp_disc)^$A18)+O17</f>
        <v>8.3413683228511424</v>
      </c>
      <c r="P18" s="15">
        <f>('DOE Fuel Esc Rates'!P239)/((1+DOEUPV_femp_disc)^$A18)+P17</f>
        <v>8.7095919652076468</v>
      </c>
      <c r="Q18" s="15">
        <f>('DOE Fuel Esc Rates'!Q239)/((1+DOEUPV_femp_disc)^$A18)+Q17</f>
        <v>12.466109384209362</v>
      </c>
      <c r="R18" s="15">
        <f>('DOE Fuel Esc Rates'!R239)/((1+DOEUPV_femp_disc)^$A18)+R17</f>
        <v>8.0030858776880045</v>
      </c>
      <c r="T18" s="33">
        <v>9</v>
      </c>
      <c r="U18" s="33"/>
    </row>
    <row r="19" spans="1:21" x14ac:dyDescent="0.2">
      <c r="A19" s="33">
        <v>10</v>
      </c>
      <c r="C19" s="15">
        <f>('DOE Fuel Esc Rates'!C240)/((1+DOEUPV_femp_disc)^$A19)+C18</f>
        <v>9.3245711609218009</v>
      </c>
      <c r="D19" s="15">
        <f>('DOE Fuel Esc Rates'!D240)/((1+DOEUPV_femp_disc)^$A19)+D18</f>
        <v>9.1071757038049732</v>
      </c>
      <c r="E19" s="15">
        <f>('DOE Fuel Esc Rates'!E240)/((1+DOEUPV_femp_disc)^$A19)+E18</f>
        <v>10.543637439683485</v>
      </c>
      <c r="F19" s="15">
        <f>('DOE Fuel Esc Rates'!F240)/((1+DOEUPV_femp_disc)^$A19)+F18</f>
        <v>8.9860714230728487</v>
      </c>
      <c r="G19"/>
      <c r="H19" s="15">
        <f>('DOE Fuel Esc Rates'!H240)/((1+DOEUPV_femp_disc)^$A19)+H18</f>
        <v>9.2098860312746087</v>
      </c>
      <c r="I19" s="15">
        <f>('DOE Fuel Esc Rates'!I240)/((1+DOEUPV_femp_disc)^$A19)+I18</f>
        <v>8.9627258706942232</v>
      </c>
      <c r="J19" s="15">
        <f>('DOE Fuel Esc Rates'!J240)/((1+DOEUPV_femp_disc)^$A19)+J18</f>
        <v>9.4672779805943783</v>
      </c>
      <c r="K19" s="15">
        <f>('DOE Fuel Esc Rates'!K240)/((1+DOEUPV_femp_disc)^$A19)+K18</f>
        <v>10.925117660132942</v>
      </c>
      <c r="L19" s="15">
        <f>('DOE Fuel Esc Rates'!L240)/((1+DOEUPV_femp_disc)^$A19)+L18</f>
        <v>8.8923661127784097</v>
      </c>
      <c r="N19" s="15">
        <f>('DOE Fuel Esc Rates'!N240)/((1+DOEUPV_femp_disc)^$A19)+N18</f>
        <v>8.8121056292617617</v>
      </c>
      <c r="O19" s="15">
        <f>('DOE Fuel Esc Rates'!O240)/((1+DOEUPV_femp_disc)^$A19)+O18</f>
        <v>9.2199546545857824</v>
      </c>
      <c r="P19" s="15">
        <f>('DOE Fuel Esc Rates'!P240)/((1+DOEUPV_femp_disc)^$A19)+P18</f>
        <v>9.6425979221627802</v>
      </c>
      <c r="Q19" s="15">
        <f>('DOE Fuel Esc Rates'!Q240)/((1+DOEUPV_femp_disc)^$A19)+Q18</f>
        <v>14.024378081333806</v>
      </c>
      <c r="R19" s="15">
        <f>('DOE Fuel Esc Rates'!R240)/((1+DOEUPV_femp_disc)^$A19)+R18</f>
        <v>8.8009697141435286</v>
      </c>
      <c r="T19" s="33">
        <v>10</v>
      </c>
      <c r="U19" s="33"/>
    </row>
    <row r="20" spans="1:21" x14ac:dyDescent="0.2">
      <c r="A20" s="33">
        <v>11</v>
      </c>
      <c r="C20" s="15">
        <f>('DOE Fuel Esc Rates'!C241)/((1+DOEUPV_femp_disc)^$A20)+C19</f>
        <v>10.20820309505484</v>
      </c>
      <c r="D20" s="15">
        <f>('DOE Fuel Esc Rates'!D241)/((1+DOEUPV_femp_disc)^$A20)+D19</f>
        <v>9.9610748252641752</v>
      </c>
      <c r="E20" s="15">
        <f>('DOE Fuel Esc Rates'!E241)/((1+DOEUPV_femp_disc)^$A20)+E19</f>
        <v>11.584684521434752</v>
      </c>
      <c r="F20" s="15">
        <f>('DOE Fuel Esc Rates'!F241)/((1+DOEUPV_femp_disc)^$A20)+F19</f>
        <v>9.7739594477290375</v>
      </c>
      <c r="G20"/>
      <c r="H20" s="15">
        <f>('DOE Fuel Esc Rates'!H241)/((1+DOEUPV_femp_disc)^$A20)+H19</f>
        <v>10.079962967885148</v>
      </c>
      <c r="I20" s="15">
        <f>('DOE Fuel Esc Rates'!I241)/((1+DOEUPV_femp_disc)^$A20)+I19</f>
        <v>9.8077949912294002</v>
      </c>
      <c r="J20" s="15">
        <f>('DOE Fuel Esc Rates'!J241)/((1+DOEUPV_femp_disc)^$A20)+J19</f>
        <v>10.376646442511447</v>
      </c>
      <c r="K20" s="15">
        <f>('DOE Fuel Esc Rates'!K241)/((1+DOEUPV_femp_disc)^$A20)+K19</f>
        <v>12.020367461058258</v>
      </c>
      <c r="L20" s="15">
        <f>('DOE Fuel Esc Rates'!L241)/((1+DOEUPV_femp_disc)^$A20)+L19</f>
        <v>9.663963554072712</v>
      </c>
      <c r="N20" s="15">
        <f>('DOE Fuel Esc Rates'!N241)/((1+DOEUPV_femp_disc)^$A20)+N19</f>
        <v>9.6430772531214775</v>
      </c>
      <c r="O20" s="15">
        <f>('DOE Fuel Esc Rates'!O241)/((1+DOEUPV_femp_disc)^$A20)+O19</f>
        <v>10.090337459839596</v>
      </c>
      <c r="P20" s="15">
        <f>('DOE Fuel Esc Rates'!P241)/((1+DOEUPV_femp_disc)^$A20)+P19</f>
        <v>10.570864391705445</v>
      </c>
      <c r="Q20" s="15">
        <f>('DOE Fuel Esc Rates'!Q241)/((1+DOEUPV_femp_disc)^$A20)+Q19</f>
        <v>15.543263812465275</v>
      </c>
      <c r="R20" s="15">
        <f>('DOE Fuel Esc Rates'!R241)/((1+DOEUPV_femp_disc)^$A20)+R19</f>
        <v>9.5799661509578566</v>
      </c>
      <c r="T20" s="33">
        <v>11</v>
      </c>
      <c r="U20" s="33"/>
    </row>
    <row r="21" spans="1:21" x14ac:dyDescent="0.2">
      <c r="A21" s="33">
        <v>12</v>
      </c>
      <c r="C21" s="15">
        <f>('DOE Fuel Esc Rates'!C242)/((1+DOEUPV_femp_disc)^$A21)+C20</f>
        <v>11.06996465898764</v>
      </c>
      <c r="D21" s="15">
        <f>('DOE Fuel Esc Rates'!D242)/((1+DOEUPV_femp_disc)^$A21)+D20</f>
        <v>10.806573858921459</v>
      </c>
      <c r="E21" s="15">
        <f>('DOE Fuel Esc Rates'!E242)/((1+DOEUPV_femp_disc)^$A21)+E20</f>
        <v>12.587288602805339</v>
      </c>
      <c r="F21" s="15">
        <f>('DOE Fuel Esc Rates'!F242)/((1+DOEUPV_femp_disc)^$A21)+F20</f>
        <v>10.543340147331302</v>
      </c>
      <c r="G21"/>
      <c r="H21" s="15">
        <f>('DOE Fuel Esc Rates'!H242)/((1+DOEUPV_femp_disc)^$A21)+H20</f>
        <v>10.928096791083151</v>
      </c>
      <c r="I21" s="15">
        <f>('DOE Fuel Esc Rates'!I242)/((1+DOEUPV_femp_disc)^$A21)+I20</f>
        <v>10.645564107570729</v>
      </c>
      <c r="J21" s="15">
        <f>('DOE Fuel Esc Rates'!J242)/((1+DOEUPV_femp_disc)^$A21)+J20</f>
        <v>11.281480028409252</v>
      </c>
      <c r="K21" s="15">
        <f>('DOE Fuel Esc Rates'!K242)/((1+DOEUPV_femp_disc)^$A21)+K20</f>
        <v>13.068335644621444</v>
      </c>
      <c r="L21" s="15">
        <f>('DOE Fuel Esc Rates'!L242)/((1+DOEUPV_femp_disc)^$A21)+L20</f>
        <v>10.414224041799393</v>
      </c>
      <c r="N21" s="15">
        <f>('DOE Fuel Esc Rates'!N242)/((1+DOEUPV_femp_disc)^$A21)+N20</f>
        <v>10.452026275561664</v>
      </c>
      <c r="O21" s="15">
        <f>('DOE Fuel Esc Rates'!O242)/((1+DOEUPV_femp_disc)^$A21)+O20</f>
        <v>10.952938255518969</v>
      </c>
      <c r="P21" s="15">
        <f>('DOE Fuel Esc Rates'!P242)/((1+DOEUPV_femp_disc)^$A21)+P20</f>
        <v>11.494420507239051</v>
      </c>
      <c r="Q21" s="15">
        <f>('DOE Fuel Esc Rates'!Q242)/((1+DOEUPV_femp_disc)^$A21)+Q20</f>
        <v>16.988766945051346</v>
      </c>
      <c r="R21" s="15">
        <f>('DOE Fuel Esc Rates'!R242)/((1+DOEUPV_femp_disc)^$A21)+R20</f>
        <v>10.340498551167105</v>
      </c>
      <c r="T21" s="33">
        <v>12</v>
      </c>
      <c r="U21" s="33"/>
    </row>
    <row r="22" spans="1:21" x14ac:dyDescent="0.2">
      <c r="A22" s="33">
        <v>13</v>
      </c>
      <c r="C22" s="15">
        <f>('DOE Fuel Esc Rates'!C243)/((1+DOEUPV_femp_disc)^$A22)+C21</f>
        <v>11.912932866864532</v>
      </c>
      <c r="D22" s="15">
        <f>('DOE Fuel Esc Rates'!D243)/((1+DOEUPV_femp_disc)^$A22)+D21</f>
        <v>11.645769761779979</v>
      </c>
      <c r="E22" s="15">
        <f>('DOE Fuel Esc Rates'!E243)/((1+DOEUPV_femp_disc)^$A22)+E21</f>
        <v>13.547788387637821</v>
      </c>
      <c r="F22" s="15">
        <f>('DOE Fuel Esc Rates'!F243)/((1+DOEUPV_femp_disc)^$A22)+F21</f>
        <v>11.294084283944279</v>
      </c>
      <c r="G22"/>
      <c r="H22" s="15">
        <f>('DOE Fuel Esc Rates'!H243)/((1+DOEUPV_femp_disc)^$A22)+H21</f>
        <v>11.760262810054289</v>
      </c>
      <c r="I22" s="15">
        <f>('DOE Fuel Esc Rates'!I243)/((1+DOEUPV_femp_disc)^$A22)+I21</f>
        <v>11.47711375399061</v>
      </c>
      <c r="J22" s="15">
        <f>('DOE Fuel Esc Rates'!J243)/((1+DOEUPV_femp_disc)^$A22)+J21</f>
        <v>12.181271455530009</v>
      </c>
      <c r="K22" s="15">
        <f>('DOE Fuel Esc Rates'!K243)/((1+DOEUPV_femp_disc)^$A22)+K21</f>
        <v>14.062882996453585</v>
      </c>
      <c r="L22" s="15">
        <f>('DOE Fuel Esc Rates'!L243)/((1+DOEUPV_femp_disc)^$A22)+L21</f>
        <v>11.144839580009254</v>
      </c>
      <c r="N22" s="15">
        <f>('DOE Fuel Esc Rates'!N243)/((1+DOEUPV_femp_disc)^$A22)+N21</f>
        <v>11.241412353978626</v>
      </c>
      <c r="O22" s="15">
        <f>('DOE Fuel Esc Rates'!O243)/((1+DOEUPV_femp_disc)^$A22)+O21</f>
        <v>11.807471985225536</v>
      </c>
      <c r="P22" s="15">
        <f>('DOE Fuel Esc Rates'!P243)/((1+DOEUPV_femp_disc)^$A22)+P21</f>
        <v>12.412753176158422</v>
      </c>
      <c r="Q22" s="15">
        <f>('DOE Fuel Esc Rates'!Q243)/((1+DOEUPV_femp_disc)^$A22)+Q21</f>
        <v>18.352555916838238</v>
      </c>
      <c r="R22" s="15">
        <f>('DOE Fuel Esc Rates'!R243)/((1+DOEUPV_femp_disc)^$A22)+R21</f>
        <v>11.085032697003019</v>
      </c>
      <c r="T22" s="33">
        <v>13</v>
      </c>
      <c r="U22" s="33"/>
    </row>
    <row r="23" spans="1:21" x14ac:dyDescent="0.2">
      <c r="A23" s="33">
        <v>14</v>
      </c>
      <c r="C23" s="15">
        <f>('DOE Fuel Esc Rates'!C244)/((1+DOEUPV_femp_disc)^$A23)+C22</f>
        <v>12.731931727523628</v>
      </c>
      <c r="D23" s="15">
        <f>('DOE Fuel Esc Rates'!D244)/((1+DOEUPV_femp_disc)^$A23)+D22</f>
        <v>12.478312438970354</v>
      </c>
      <c r="E23" s="15">
        <f>('DOE Fuel Esc Rates'!E244)/((1+DOEUPV_femp_disc)^$A23)+E22</f>
        <v>14.471265575344461</v>
      </c>
      <c r="F23" s="15">
        <f>('DOE Fuel Esc Rates'!F244)/((1+DOEUPV_femp_disc)^$A23)+F22</f>
        <v>12.027148032224362</v>
      </c>
      <c r="G23"/>
      <c r="H23" s="15">
        <f>('DOE Fuel Esc Rates'!H244)/((1+DOEUPV_femp_disc)^$A23)+H22</f>
        <v>12.567814063740943</v>
      </c>
      <c r="I23" s="15">
        <f>('DOE Fuel Esc Rates'!I244)/((1+DOEUPV_femp_disc)^$A23)+I22</f>
        <v>12.302095519740091</v>
      </c>
      <c r="J23" s="15">
        <f>('DOE Fuel Esc Rates'!J244)/((1+DOEUPV_femp_disc)^$A23)+J22</f>
        <v>13.076051508748645</v>
      </c>
      <c r="K23" s="15">
        <f>('DOE Fuel Esc Rates'!K244)/((1+DOEUPV_femp_disc)^$A23)+K22</f>
        <v>15.011065112693446</v>
      </c>
      <c r="L23" s="15">
        <f>('DOE Fuel Esc Rates'!L244)/((1+DOEUPV_femp_disc)^$A23)+L22</f>
        <v>11.856318061473701</v>
      </c>
      <c r="N23" s="15">
        <f>('DOE Fuel Esc Rates'!N244)/((1+DOEUPV_femp_disc)^$A23)+N22</f>
        <v>12.005522950962771</v>
      </c>
      <c r="O23" s="15">
        <f>('DOE Fuel Esc Rates'!O244)/((1+DOEUPV_femp_disc)^$A23)+O22</f>
        <v>12.653676799549368</v>
      </c>
      <c r="P23" s="15">
        <f>('DOE Fuel Esc Rates'!P244)/((1+DOEUPV_femp_disc)^$A23)+P22</f>
        <v>13.325896480934293</v>
      </c>
      <c r="Q23" s="15">
        <f>('DOE Fuel Esc Rates'!Q244)/((1+DOEUPV_femp_disc)^$A23)+Q22</f>
        <v>19.641827205747678</v>
      </c>
      <c r="R23" s="15">
        <f>('DOE Fuel Esc Rates'!R244)/((1+DOEUPV_femp_disc)^$A23)+R22</f>
        <v>11.815846657049505</v>
      </c>
      <c r="T23" s="33">
        <v>14</v>
      </c>
      <c r="U23" s="33"/>
    </row>
    <row r="24" spans="1:21" x14ac:dyDescent="0.2">
      <c r="A24" s="33">
        <v>15</v>
      </c>
      <c r="C24" s="15">
        <f>('DOE Fuel Esc Rates'!C245)/((1+DOEUPV_femp_disc)^$A24)+C23</f>
        <v>13.528633139187603</v>
      </c>
      <c r="D24" s="15">
        <f>('DOE Fuel Esc Rates'!D245)/((1+DOEUPV_femp_disc)^$A24)+D23</f>
        <v>13.304505581632176</v>
      </c>
      <c r="E24" s="15">
        <f>('DOE Fuel Esc Rates'!E245)/((1+DOEUPV_femp_disc)^$A24)+E23</f>
        <v>15.361088927682857</v>
      </c>
      <c r="F24" s="15">
        <f>('DOE Fuel Esc Rates'!F245)/((1+DOEUPV_femp_disc)^$A24)+F23</f>
        <v>12.743178435750815</v>
      </c>
      <c r="G24"/>
      <c r="H24" s="15">
        <f>('DOE Fuel Esc Rates'!H245)/((1+DOEUPV_femp_disc)^$A24)+H23</f>
        <v>13.351661436217437</v>
      </c>
      <c r="I24" s="15">
        <f>('DOE Fuel Esc Rates'!I245)/((1+DOEUPV_femp_disc)^$A24)+I23</f>
        <v>13.120509922189004</v>
      </c>
      <c r="J24" s="15">
        <f>('DOE Fuel Esc Rates'!J245)/((1+DOEUPV_femp_disc)^$A24)+J23</f>
        <v>13.96681869986867</v>
      </c>
      <c r="K24" s="15">
        <f>('DOE Fuel Esc Rates'!K245)/((1+DOEUPV_femp_disc)^$A24)+K23</f>
        <v>15.917554354192319</v>
      </c>
      <c r="L24" s="15">
        <f>('DOE Fuel Esc Rates'!L245)/((1+DOEUPV_femp_disc)^$A24)+L23</f>
        <v>12.550194753392033</v>
      </c>
      <c r="N24" s="15">
        <f>('DOE Fuel Esc Rates'!N245)/((1+DOEUPV_femp_disc)^$A24)+N23</f>
        <v>12.746047615662265</v>
      </c>
      <c r="O24" s="15">
        <f>('DOE Fuel Esc Rates'!O245)/((1+DOEUPV_femp_disc)^$A24)+O23</f>
        <v>13.491943458747734</v>
      </c>
      <c r="P24" s="15">
        <f>('DOE Fuel Esc Rates'!P245)/((1+DOEUPV_femp_disc)^$A24)+P23</f>
        <v>14.234868679732129</v>
      </c>
      <c r="Q24" s="15">
        <f>('DOE Fuel Esc Rates'!Q245)/((1+DOEUPV_femp_disc)^$A24)+Q23</f>
        <v>20.866876739698753</v>
      </c>
      <c r="R24" s="15">
        <f>('DOE Fuel Esc Rates'!R245)/((1+DOEUPV_femp_disc)^$A24)+R23</f>
        <v>12.529241411836821</v>
      </c>
      <c r="T24" s="33">
        <v>15</v>
      </c>
      <c r="U24" s="33"/>
    </row>
    <row r="25" spans="1:21" x14ac:dyDescent="0.2">
      <c r="A25" s="33">
        <v>16</v>
      </c>
      <c r="C25" s="15">
        <f>('DOE Fuel Esc Rates'!C246)/((1+DOEUPV_femp_disc)^$A25)+C24</f>
        <v>14.301580004262165</v>
      </c>
      <c r="D25" s="15">
        <f>('DOE Fuel Esc Rates'!D246)/((1+DOEUPV_femp_disc)^$A25)+D24</f>
        <v>14.124317665567053</v>
      </c>
      <c r="E25" s="15">
        <f>('DOE Fuel Esc Rates'!E246)/((1+DOEUPV_femp_disc)^$A25)+E24</f>
        <v>16.226307025400047</v>
      </c>
      <c r="F25" s="15">
        <f>('DOE Fuel Esc Rates'!F246)/((1+DOEUPV_femp_disc)^$A25)+F24</f>
        <v>13.443285653972385</v>
      </c>
      <c r="G25"/>
      <c r="H25" s="15">
        <f>('DOE Fuel Esc Rates'!H246)/((1+DOEUPV_femp_disc)^$A25)+H24</f>
        <v>14.10877018620493</v>
      </c>
      <c r="I25" s="15">
        <f>('DOE Fuel Esc Rates'!I246)/((1+DOEUPV_femp_disc)^$A25)+I24</f>
        <v>13.932667540205346</v>
      </c>
      <c r="J25" s="15">
        <f>('DOE Fuel Esc Rates'!J246)/((1+DOEUPV_femp_disc)^$A25)+J24</f>
        <v>14.85447481329213</v>
      </c>
      <c r="K25" s="15">
        <f>('DOE Fuel Esc Rates'!K246)/((1+DOEUPV_femp_disc)^$A25)+K24</f>
        <v>16.794907808094322</v>
      </c>
      <c r="L25" s="15">
        <f>('DOE Fuel Esc Rates'!L246)/((1+DOEUPV_femp_disc)^$A25)+L24</f>
        <v>13.226891429692643</v>
      </c>
      <c r="N25" s="15">
        <f>('DOE Fuel Esc Rates'!N246)/((1+DOEUPV_femp_disc)^$A25)+N24</f>
        <v>13.463066294260607</v>
      </c>
      <c r="O25" s="15">
        <f>('DOE Fuel Esc Rates'!O246)/((1+DOEUPV_femp_disc)^$A25)+O24</f>
        <v>14.322628661617768</v>
      </c>
      <c r="P25" s="15">
        <f>('DOE Fuel Esc Rates'!P246)/((1+DOEUPV_femp_disc)^$A25)+P24</f>
        <v>15.140589572760121</v>
      </c>
      <c r="Q25" s="15">
        <f>('DOE Fuel Esc Rates'!Q246)/((1+DOEUPV_femp_disc)^$A25)+Q24</f>
        <v>22.051066546637806</v>
      </c>
      <c r="R25" s="15">
        <f>('DOE Fuel Esc Rates'!R246)/((1+DOEUPV_femp_disc)^$A25)+R24</f>
        <v>13.229365714032914</v>
      </c>
      <c r="T25" s="33">
        <v>16</v>
      </c>
      <c r="U25" s="33"/>
    </row>
    <row r="26" spans="1:21" x14ac:dyDescent="0.2">
      <c r="A26" s="33">
        <v>17</v>
      </c>
      <c r="C26" s="15">
        <f>('DOE Fuel Esc Rates'!C247)/((1+DOEUPV_femp_disc)^$A26)+C25</f>
        <v>15.055215704940691</v>
      </c>
      <c r="D26" s="15">
        <f>('DOE Fuel Esc Rates'!D247)/((1+DOEUPV_femp_disc)^$A26)+D25</f>
        <v>14.937123516980822</v>
      </c>
      <c r="E26" s="15">
        <f>('DOE Fuel Esc Rates'!E247)/((1+DOEUPV_femp_disc)^$A26)+E25</f>
        <v>17.073966908999406</v>
      </c>
      <c r="F26" s="15">
        <f>('DOE Fuel Esc Rates'!F247)/((1+DOEUPV_femp_disc)^$A26)+F25</f>
        <v>14.129226341485353</v>
      </c>
      <c r="G26"/>
      <c r="H26" s="15">
        <f>('DOE Fuel Esc Rates'!H247)/((1+DOEUPV_femp_disc)^$A26)+H25</f>
        <v>14.845896836587071</v>
      </c>
      <c r="I26" s="15">
        <f>('DOE Fuel Esc Rates'!I247)/((1+DOEUPV_femp_disc)^$A26)+I25</f>
        <v>14.738543350186996</v>
      </c>
      <c r="J26" s="15">
        <f>('DOE Fuel Esc Rates'!J247)/((1+DOEUPV_femp_disc)^$A26)+J25</f>
        <v>15.738445406686704</v>
      </c>
      <c r="K26" s="15">
        <f>('DOE Fuel Esc Rates'!K247)/((1+DOEUPV_femp_disc)^$A26)+K25</f>
        <v>17.652014439707749</v>
      </c>
      <c r="L26" s="15">
        <f>('DOE Fuel Esc Rates'!L247)/((1+DOEUPV_femp_disc)^$A26)+L25</f>
        <v>13.887800804894225</v>
      </c>
      <c r="N26" s="15">
        <f>('DOE Fuel Esc Rates'!N247)/((1+DOEUPV_femp_disc)^$A26)+N25</f>
        <v>14.162544720596513</v>
      </c>
      <c r="O26" s="15">
        <f>('DOE Fuel Esc Rates'!O247)/((1+DOEUPV_femp_disc)^$A26)+O25</f>
        <v>15.14576007369538</v>
      </c>
      <c r="P26" s="15">
        <f>('DOE Fuel Esc Rates'!P247)/((1+DOEUPV_femp_disc)^$A26)+P25</f>
        <v>16.042477442342388</v>
      </c>
      <c r="Q26" s="15">
        <f>('DOE Fuel Esc Rates'!Q247)/((1+DOEUPV_femp_disc)^$A26)+Q25</f>
        <v>23.209145117493033</v>
      </c>
      <c r="R26" s="15">
        <f>('DOE Fuel Esc Rates'!R247)/((1+DOEUPV_femp_disc)^$A26)+R25</f>
        <v>13.912742723646737</v>
      </c>
      <c r="T26" s="33">
        <v>17</v>
      </c>
      <c r="U26" s="33"/>
    </row>
    <row r="27" spans="1:21" x14ac:dyDescent="0.2">
      <c r="A27" s="33">
        <v>18</v>
      </c>
      <c r="C27" s="15">
        <f>('DOE Fuel Esc Rates'!C248)/((1+DOEUPV_femp_disc)^$A27)+C26</f>
        <v>15.790916117567038</v>
      </c>
      <c r="D27" s="15">
        <f>('DOE Fuel Esc Rates'!D248)/((1+DOEUPV_femp_disc)^$A27)+D26</f>
        <v>15.743785289768937</v>
      </c>
      <c r="E27" s="15">
        <f>('DOE Fuel Esc Rates'!E248)/((1+DOEUPV_femp_disc)^$A27)+E26</f>
        <v>17.906830631587965</v>
      </c>
      <c r="F27" s="15">
        <f>('DOE Fuel Esc Rates'!F248)/((1+DOEUPV_femp_disc)^$A27)+F26</f>
        <v>14.80053446447539</v>
      </c>
      <c r="G27"/>
      <c r="H27" s="15">
        <f>('DOE Fuel Esc Rates'!H248)/((1+DOEUPV_femp_disc)^$A27)+H26</f>
        <v>15.565404997626743</v>
      </c>
      <c r="I27" s="15">
        <f>('DOE Fuel Esc Rates'!I248)/((1+DOEUPV_femp_disc)^$A27)+I26</f>
        <v>15.5392938832901</v>
      </c>
      <c r="J27" s="15">
        <f>('DOE Fuel Esc Rates'!J248)/((1+DOEUPV_femp_disc)^$A27)+J26</f>
        <v>16.617295353959921</v>
      </c>
      <c r="K27" s="15">
        <f>('DOE Fuel Esc Rates'!K248)/((1+DOEUPV_femp_disc)^$A27)+K26</f>
        <v>18.491885676913487</v>
      </c>
      <c r="L27" s="15">
        <f>('DOE Fuel Esc Rates'!L248)/((1+DOEUPV_femp_disc)^$A27)+L26</f>
        <v>14.532316444045316</v>
      </c>
      <c r="N27" s="15">
        <f>('DOE Fuel Esc Rates'!N248)/((1+DOEUPV_femp_disc)^$A27)+N26</f>
        <v>14.8461137821023</v>
      </c>
      <c r="O27" s="15">
        <f>('DOE Fuel Esc Rates'!O248)/((1+DOEUPV_femp_disc)^$A27)+O26</f>
        <v>15.963092550796032</v>
      </c>
      <c r="P27" s="15">
        <f>('DOE Fuel Esc Rates'!P248)/((1+DOEUPV_femp_disc)^$A27)+P26</f>
        <v>16.939075112042399</v>
      </c>
      <c r="Q27" s="15">
        <f>('DOE Fuel Esc Rates'!Q248)/((1+DOEUPV_femp_disc)^$A27)+Q26</f>
        <v>24.348137431430423</v>
      </c>
      <c r="R27" s="15">
        <f>('DOE Fuel Esc Rates'!R248)/((1+DOEUPV_femp_disc)^$A27)+R26</f>
        <v>14.58152333111347</v>
      </c>
      <c r="T27" s="33">
        <v>18</v>
      </c>
      <c r="U27" s="33"/>
    </row>
    <row r="28" spans="1:21" x14ac:dyDescent="0.2">
      <c r="A28" s="33">
        <v>19</v>
      </c>
      <c r="C28" s="15">
        <f>('DOE Fuel Esc Rates'!C249)/((1+DOEUPV_femp_disc)^$A28)+C27</f>
        <v>16.50933818397862</v>
      </c>
      <c r="D28" s="15">
        <f>('DOE Fuel Esc Rates'!D249)/((1+DOEUPV_femp_disc)^$A28)+D27</f>
        <v>16.544250363606224</v>
      </c>
      <c r="E28" s="15">
        <f>('DOE Fuel Esc Rates'!E249)/((1+DOEUPV_femp_disc)^$A28)+E27</f>
        <v>18.724440703712009</v>
      </c>
      <c r="F28" s="15">
        <f>('DOE Fuel Esc Rates'!F249)/((1+DOEUPV_femp_disc)^$A28)+F27</f>
        <v>15.457029142748398</v>
      </c>
      <c r="G28"/>
      <c r="H28" s="15">
        <f>('DOE Fuel Esc Rates'!H249)/((1+DOEUPV_femp_disc)^$A28)+H27</f>
        <v>16.26769565778282</v>
      </c>
      <c r="I28" s="15">
        <f>('DOE Fuel Esc Rates'!I249)/((1+DOEUPV_femp_disc)^$A28)+I27</f>
        <v>16.334821343361746</v>
      </c>
      <c r="J28" s="15">
        <f>('DOE Fuel Esc Rates'!J249)/((1+DOEUPV_femp_disc)^$A28)+J27</f>
        <v>17.492749705042961</v>
      </c>
      <c r="K28" s="15">
        <f>('DOE Fuel Esc Rates'!K249)/((1+DOEUPV_femp_disc)^$A28)+K27</f>
        <v>19.31479840858508</v>
      </c>
      <c r="L28" s="15">
        <f>('DOE Fuel Esc Rates'!L249)/((1+DOEUPV_femp_disc)^$A28)+L27</f>
        <v>15.159908360099282</v>
      </c>
      <c r="N28" s="15">
        <f>('DOE Fuel Esc Rates'!N249)/((1+DOEUPV_femp_disc)^$A28)+N27</f>
        <v>15.513515874965444</v>
      </c>
      <c r="O28" s="15">
        <f>('DOE Fuel Esc Rates'!O249)/((1+DOEUPV_femp_disc)^$A28)+O27</f>
        <v>16.774545703877639</v>
      </c>
      <c r="P28" s="15">
        <f>('DOE Fuel Esc Rates'!P249)/((1+DOEUPV_femp_disc)^$A28)+P27</f>
        <v>17.832139487880639</v>
      </c>
      <c r="Q28" s="15">
        <f>('DOE Fuel Esc Rates'!Q249)/((1+DOEUPV_femp_disc)^$A28)+Q27</f>
        <v>25.468172869130299</v>
      </c>
      <c r="R28" s="15">
        <f>('DOE Fuel Esc Rates'!R249)/((1+DOEUPV_femp_disc)^$A28)+R27</f>
        <v>15.234260349753626</v>
      </c>
      <c r="T28" s="33">
        <v>19</v>
      </c>
      <c r="U28" s="33"/>
    </row>
    <row r="29" spans="1:21" x14ac:dyDescent="0.2">
      <c r="A29" s="33">
        <v>20</v>
      </c>
      <c r="C29" s="15">
        <f>('DOE Fuel Esc Rates'!C250)/((1+DOEUPV_femp_disc)^$A29)+C28</f>
        <v>17.21000966209888</v>
      </c>
      <c r="D29" s="15">
        <f>('DOE Fuel Esc Rates'!D250)/((1+DOEUPV_femp_disc)^$A29)+D28</f>
        <v>17.339008026415769</v>
      </c>
      <c r="E29" s="15">
        <f>('DOE Fuel Esc Rates'!E250)/((1+DOEUPV_femp_disc)^$A29)+E28</f>
        <v>19.531641671657351</v>
      </c>
      <c r="F29" s="15">
        <f>('DOE Fuel Esc Rates'!F250)/((1+DOEUPV_femp_disc)^$A29)+F28</f>
        <v>16.099442008310067</v>
      </c>
      <c r="G29"/>
      <c r="H29" s="15">
        <f>('DOE Fuel Esc Rates'!H250)/((1+DOEUPV_femp_disc)^$A29)+H28</f>
        <v>16.952530064115347</v>
      </c>
      <c r="I29" s="15">
        <f>('DOE Fuel Esc Rates'!I250)/((1+DOEUPV_femp_disc)^$A29)+I28</f>
        <v>17.125308541026268</v>
      </c>
      <c r="J29" s="15">
        <f>('DOE Fuel Esc Rates'!J250)/((1+DOEUPV_femp_disc)^$A29)+J28</f>
        <v>18.36468335457457</v>
      </c>
      <c r="K29" s="15">
        <f>('DOE Fuel Esc Rates'!K250)/((1+DOEUPV_femp_disc)^$A29)+K28</f>
        <v>20.125884820419447</v>
      </c>
      <c r="L29" s="15">
        <f>('DOE Fuel Esc Rates'!L250)/((1+DOEUPV_femp_disc)^$A29)+L28</f>
        <v>15.771015634979175</v>
      </c>
      <c r="N29" s="15">
        <f>('DOE Fuel Esc Rates'!N250)/((1+DOEUPV_femp_disc)^$A29)+N28</f>
        <v>16.164921615469297</v>
      </c>
      <c r="O29" s="15">
        <f>('DOE Fuel Esc Rates'!O250)/((1+DOEUPV_femp_disc)^$A29)+O28</f>
        <v>17.58004058791493</v>
      </c>
      <c r="P29" s="15">
        <f>('DOE Fuel Esc Rates'!P250)/((1+DOEUPV_femp_disc)^$A29)+P28</f>
        <v>18.721545648914432</v>
      </c>
      <c r="Q29" s="15">
        <f>('DOE Fuel Esc Rates'!Q250)/((1+DOEUPV_femp_disc)^$A29)+Q28</f>
        <v>26.578591833204833</v>
      </c>
      <c r="R29" s="15">
        <f>('DOE Fuel Esc Rates'!R250)/((1+DOEUPV_femp_disc)^$A29)+R28</f>
        <v>15.871321006678867</v>
      </c>
      <c r="T29" s="33">
        <v>20</v>
      </c>
      <c r="U29" s="33"/>
    </row>
    <row r="30" spans="1:21" x14ac:dyDescent="0.2">
      <c r="A30" s="33">
        <v>21</v>
      </c>
      <c r="C30" s="15">
        <f>('DOE Fuel Esc Rates'!C251)/((1+DOEUPV_femp_disc)^$A30)+C29</f>
        <v>17.89252536897526</v>
      </c>
      <c r="D30" s="15">
        <f>('DOE Fuel Esc Rates'!D251)/((1+DOEUPV_femp_disc)^$A30)+D29</f>
        <v>18.127711685149272</v>
      </c>
      <c r="E30" s="15">
        <f>('DOE Fuel Esc Rates'!E251)/((1+DOEUPV_femp_disc)^$A30)+E29</f>
        <v>20.32608291731664</v>
      </c>
      <c r="F30" s="15">
        <f>('DOE Fuel Esc Rates'!F251)/((1+DOEUPV_femp_disc)^$A30)+F29</f>
        <v>16.727823710342268</v>
      </c>
      <c r="G30"/>
      <c r="H30" s="15">
        <f>('DOE Fuel Esc Rates'!H251)/((1+DOEUPV_femp_disc)^$A30)+H29</f>
        <v>17.619409895573799</v>
      </c>
      <c r="I30" s="15">
        <f>('DOE Fuel Esc Rates'!I251)/((1+DOEUPV_femp_disc)^$A30)+I29</f>
        <v>17.910374208966005</v>
      </c>
      <c r="J30" s="15">
        <f>('DOE Fuel Esc Rates'!J251)/((1+DOEUPV_femp_disc)^$A30)+J29</f>
        <v>19.232969055203256</v>
      </c>
      <c r="K30" s="15">
        <f>('DOE Fuel Esc Rates'!K251)/((1+DOEUPV_femp_disc)^$A30)+K29</f>
        <v>20.92434982674051</v>
      </c>
      <c r="L30" s="15">
        <f>('DOE Fuel Esc Rates'!L251)/((1+DOEUPV_femp_disc)^$A30)+L29</f>
        <v>16.366066130029239</v>
      </c>
      <c r="N30" s="15">
        <f>('DOE Fuel Esc Rates'!N251)/((1+DOEUPV_femp_disc)^$A30)+N29</f>
        <v>16.800139602648883</v>
      </c>
      <c r="O30" s="15">
        <f>('DOE Fuel Esc Rates'!O251)/((1+DOEUPV_femp_disc)^$A30)+O29</f>
        <v>18.379499923598939</v>
      </c>
      <c r="P30" s="15">
        <f>('DOE Fuel Esc Rates'!P251)/((1+DOEUPV_femp_disc)^$A30)+P29</f>
        <v>19.607166428013059</v>
      </c>
      <c r="Q30" s="15">
        <f>('DOE Fuel Esc Rates'!Q251)/((1+DOEUPV_femp_disc)^$A30)+Q29</f>
        <v>27.674537171346302</v>
      </c>
      <c r="R30" s="15">
        <f>('DOE Fuel Esc Rates'!R251)/((1+DOEUPV_femp_disc)^$A30)+R29</f>
        <v>16.493064747489349</v>
      </c>
      <c r="T30" s="33">
        <v>21</v>
      </c>
      <c r="U30" s="33"/>
    </row>
    <row r="31" spans="1:21" x14ac:dyDescent="0.2">
      <c r="A31" s="33">
        <v>22</v>
      </c>
      <c r="C31" s="15">
        <f>('DOE Fuel Esc Rates'!C252)/((1+DOEUPV_femp_disc)^$A31)+C30</f>
        <v>18.558384246617297</v>
      </c>
      <c r="D31" s="15">
        <f>('DOE Fuel Esc Rates'!D252)/((1+DOEUPV_femp_disc)^$A31)+D30</f>
        <v>18.910550436473152</v>
      </c>
      <c r="E31" s="15">
        <f>('DOE Fuel Esc Rates'!E252)/((1+DOEUPV_femp_disc)^$A31)+E30</f>
        <v>21.115513994967454</v>
      </c>
      <c r="F31" s="15">
        <f>('DOE Fuel Esc Rates'!F252)/((1+DOEUPV_femp_disc)^$A31)+F30</f>
        <v>17.342240089497665</v>
      </c>
      <c r="G31"/>
      <c r="H31" s="15">
        <f>('DOE Fuel Esc Rates'!H252)/((1+DOEUPV_femp_disc)^$A31)+H30</f>
        <v>18.270139028658299</v>
      </c>
      <c r="I31" s="15">
        <f>('DOE Fuel Esc Rates'!I252)/((1+DOEUPV_femp_disc)^$A31)+I30</f>
        <v>18.690452319857002</v>
      </c>
      <c r="J31" s="15">
        <f>('DOE Fuel Esc Rates'!J252)/((1+DOEUPV_femp_disc)^$A31)+J30</f>
        <v>20.097079615824882</v>
      </c>
      <c r="K31" s="15">
        <f>('DOE Fuel Esc Rates'!K252)/((1+DOEUPV_femp_disc)^$A31)+K30</f>
        <v>21.718633589048654</v>
      </c>
      <c r="L31" s="15">
        <f>('DOE Fuel Esc Rates'!L252)/((1+DOEUPV_femp_disc)^$A31)+L30</f>
        <v>16.947168477041128</v>
      </c>
      <c r="N31" s="15">
        <f>('DOE Fuel Esc Rates'!N252)/((1+DOEUPV_femp_disc)^$A31)+N30</f>
        <v>17.421362938759898</v>
      </c>
      <c r="O31" s="15">
        <f>('DOE Fuel Esc Rates'!O252)/((1+DOEUPV_femp_disc)^$A31)+O30</f>
        <v>19.172848297975953</v>
      </c>
      <c r="P31" s="15">
        <f>('DOE Fuel Esc Rates'!P252)/((1+DOEUPV_femp_disc)^$A31)+P30</f>
        <v>20.48846781731401</v>
      </c>
      <c r="Q31" s="15">
        <f>('DOE Fuel Esc Rates'!Q252)/((1+DOEUPV_femp_disc)^$A31)+Q30</f>
        <v>28.774703911433967</v>
      </c>
      <c r="R31" s="15">
        <f>('DOE Fuel Esc Rates'!R252)/((1+DOEUPV_femp_disc)^$A31)+R30</f>
        <v>17.102987308761769</v>
      </c>
      <c r="T31" s="33">
        <v>22</v>
      </c>
      <c r="U31" s="33"/>
    </row>
    <row r="32" spans="1:21" x14ac:dyDescent="0.2">
      <c r="A32" s="33">
        <v>23</v>
      </c>
      <c r="C32" s="15">
        <f>('DOE Fuel Esc Rates'!C253)/((1+DOEUPV_femp_disc)^$A32)+C31</f>
        <v>19.212670217687705</v>
      </c>
      <c r="D32" s="15">
        <f>('DOE Fuel Esc Rates'!D253)/((1+DOEUPV_femp_disc)^$A32)+D31</f>
        <v>19.688932085235013</v>
      </c>
      <c r="E32" s="15">
        <f>('DOE Fuel Esc Rates'!E253)/((1+DOEUPV_femp_disc)^$A32)+E31</f>
        <v>21.904886403047399</v>
      </c>
      <c r="F32" s="15">
        <f>('DOE Fuel Esc Rates'!F253)/((1+DOEUPV_femp_disc)^$A32)+F31</f>
        <v>17.942971580710712</v>
      </c>
      <c r="G32"/>
      <c r="H32" s="15">
        <f>('DOE Fuel Esc Rates'!H253)/((1+DOEUPV_femp_disc)^$A32)+H31</f>
        <v>18.911736732912775</v>
      </c>
      <c r="I32" s="15">
        <f>('DOE Fuel Esc Rates'!I253)/((1+DOEUPV_femp_disc)^$A32)+I31</f>
        <v>19.46669897324476</v>
      </c>
      <c r="J32" s="15">
        <f>('DOE Fuel Esc Rates'!J253)/((1+DOEUPV_femp_disc)^$A32)+J31</f>
        <v>20.95768201296692</v>
      </c>
      <c r="K32" s="15">
        <f>('DOE Fuel Esc Rates'!K253)/((1+DOEUPV_femp_disc)^$A32)+K31</f>
        <v>22.516450859602426</v>
      </c>
      <c r="L32" s="15">
        <f>('DOE Fuel Esc Rates'!L253)/((1+DOEUPV_femp_disc)^$A32)+L31</f>
        <v>17.514630386546671</v>
      </c>
      <c r="N32" s="15">
        <f>('DOE Fuel Esc Rates'!N253)/((1+DOEUPV_femp_disc)^$A32)+N31</f>
        <v>18.034468705512651</v>
      </c>
      <c r="O32" s="15">
        <f>('DOE Fuel Esc Rates'!O253)/((1+DOEUPV_femp_disc)^$A32)+O31</f>
        <v>19.961754409234366</v>
      </c>
      <c r="P32" s="15">
        <f>('DOE Fuel Esc Rates'!P253)/((1+DOEUPV_femp_disc)^$A32)+P31</f>
        <v>21.36613031012973</v>
      </c>
      <c r="Q32" s="15">
        <f>('DOE Fuel Esc Rates'!Q253)/((1+DOEUPV_femp_disc)^$A32)+Q31</f>
        <v>29.890548620579693</v>
      </c>
      <c r="R32" s="15">
        <f>('DOE Fuel Esc Rates'!R253)/((1+DOEUPV_femp_disc)^$A32)+R31</f>
        <v>17.701249855100446</v>
      </c>
      <c r="T32" s="33">
        <v>23</v>
      </c>
      <c r="U32" s="33"/>
    </row>
    <row r="33" spans="1:24" x14ac:dyDescent="0.2">
      <c r="A33" s="33">
        <v>24</v>
      </c>
      <c r="C33" s="15">
        <f>('DOE Fuel Esc Rates'!C254)/((1+DOEUPV_femp_disc)^$A33)+C32</f>
        <v>19.857879007929689</v>
      </c>
      <c r="D33" s="15">
        <f>('DOE Fuel Esc Rates'!D254)/((1+DOEUPV_femp_disc)^$A33)+D32</f>
        <v>20.462211485850887</v>
      </c>
      <c r="E33" s="15">
        <f>('DOE Fuel Esc Rates'!E254)/((1+DOEUPV_femp_disc)^$A33)+E32</f>
        <v>22.69767645603244</v>
      </c>
      <c r="F33" s="15">
        <f>('DOE Fuel Esc Rates'!F254)/((1+DOEUPV_femp_disc)^$A33)+F32</f>
        <v>18.531462156474202</v>
      </c>
      <c r="G33"/>
      <c r="H33" s="15">
        <f>('DOE Fuel Esc Rates'!H254)/((1+DOEUPV_femp_disc)^$A33)+H32</f>
        <v>19.546707074459327</v>
      </c>
      <c r="I33" s="15">
        <f>('DOE Fuel Esc Rates'!I254)/((1+DOEUPV_femp_disc)^$A33)+I32</f>
        <v>20.238427766676111</v>
      </c>
      <c r="J33" s="15">
        <f>('DOE Fuel Esc Rates'!J254)/((1+DOEUPV_femp_disc)^$A33)+J32</f>
        <v>21.825513207379597</v>
      </c>
      <c r="K33" s="15">
        <f>('DOE Fuel Esc Rates'!K254)/((1+DOEUPV_femp_disc)^$A33)+K32</f>
        <v>23.321956392789925</v>
      </c>
      <c r="L33" s="15">
        <f>('DOE Fuel Esc Rates'!L254)/((1+DOEUPV_femp_disc)^$A33)+L32</f>
        <v>18.067956177502293</v>
      </c>
      <c r="N33" s="15">
        <f>('DOE Fuel Esc Rates'!N254)/((1+DOEUPV_femp_disc)^$A33)+N32</f>
        <v>18.642801270657884</v>
      </c>
      <c r="O33" s="15">
        <f>('DOE Fuel Esc Rates'!O254)/((1+DOEUPV_femp_disc)^$A33)+O32</f>
        <v>20.745562385995353</v>
      </c>
      <c r="P33" s="15">
        <f>('DOE Fuel Esc Rates'!P254)/((1+DOEUPV_femp_disc)^$A33)+P32</f>
        <v>22.251076324957868</v>
      </c>
      <c r="Q33" s="15">
        <f>('DOE Fuel Esc Rates'!Q254)/((1+DOEUPV_femp_disc)^$A33)+Q32</f>
        <v>31.029763588944874</v>
      </c>
      <c r="R33" s="15">
        <f>('DOE Fuel Esc Rates'!R254)/((1+DOEUPV_femp_disc)^$A33)+R32</f>
        <v>18.288014191216249</v>
      </c>
      <c r="T33" s="33">
        <v>24</v>
      </c>
      <c r="U33" s="33"/>
    </row>
    <row r="34" spans="1:24" x14ac:dyDescent="0.2">
      <c r="A34" s="33">
        <v>25</v>
      </c>
      <c r="C34" s="15">
        <f>('DOE Fuel Esc Rates'!C255)/((1+DOEUPV_femp_disc)^$A34)+C33</f>
        <v>20.491351444337383</v>
      </c>
      <c r="D34" s="15">
        <f>('DOE Fuel Esc Rates'!D255)/((1+DOEUPV_femp_disc)^$A34)+D33</f>
        <v>21.229324540589648</v>
      </c>
      <c r="E34" s="15">
        <f>('DOE Fuel Esc Rates'!E255)/((1+DOEUPV_femp_disc)^$A34)+E33</f>
        <v>23.490501701006796</v>
      </c>
      <c r="F34" s="15">
        <f>('DOE Fuel Esc Rates'!F255)/((1+DOEUPV_femp_disc)^$A34)+F33</f>
        <v>19.108671261549432</v>
      </c>
      <c r="G34"/>
      <c r="H34" s="15">
        <f>('DOE Fuel Esc Rates'!H255)/((1+DOEUPV_femp_disc)^$A34)+H33</f>
        <v>20.171624281674553</v>
      </c>
      <c r="I34" s="15">
        <f>('DOE Fuel Esc Rates'!I255)/((1+DOEUPV_femp_disc)^$A34)+I33</f>
        <v>21.004521536212195</v>
      </c>
      <c r="J34" s="15">
        <f>('DOE Fuel Esc Rates'!J255)/((1+DOEUPV_femp_disc)^$A34)+J33</f>
        <v>22.708172049503627</v>
      </c>
      <c r="K34" s="15">
        <f>('DOE Fuel Esc Rates'!K255)/((1+DOEUPV_femp_disc)^$A34)+K33</f>
        <v>24.13053424250484</v>
      </c>
      <c r="L34" s="15">
        <f>('DOE Fuel Esc Rates'!L255)/((1+DOEUPV_femp_disc)^$A34)+L33</f>
        <v>18.608261991675125</v>
      </c>
      <c r="N34" s="15">
        <f>('DOE Fuel Esc Rates'!N255)/((1+DOEUPV_femp_disc)^$A34)+N33</f>
        <v>19.243313972596553</v>
      </c>
      <c r="O34" s="15">
        <f>('DOE Fuel Esc Rates'!O255)/((1+DOEUPV_femp_disc)^$A34)+O33</f>
        <v>21.522961627907502</v>
      </c>
      <c r="P34" s="15">
        <f>('DOE Fuel Esc Rates'!P255)/((1+DOEUPV_femp_disc)^$A34)+P33</f>
        <v>23.151036508652005</v>
      </c>
      <c r="Q34" s="15">
        <f>('DOE Fuel Esc Rates'!Q255)/((1+DOEUPV_femp_disc)^$A34)+Q33</f>
        <v>32.184748802145506</v>
      </c>
      <c r="R34" s="15">
        <f>('DOE Fuel Esc Rates'!R255)/((1+DOEUPV_femp_disc)^$A34)+R33</f>
        <v>18.863442587917042</v>
      </c>
      <c r="T34" s="33">
        <v>25</v>
      </c>
      <c r="U34" s="33"/>
    </row>
    <row r="35" spans="1:24" x14ac:dyDescent="0.2">
      <c r="A35" s="33">
        <v>26</v>
      </c>
      <c r="C35" s="15">
        <f>('DOE Fuel Esc Rates'!C256)/((1+DOEUPV_femp_disc)^$A35)+C34</f>
        <v>21.110565395686354</v>
      </c>
      <c r="D35" s="15">
        <f>('DOE Fuel Esc Rates'!D256)/((1+DOEUPV_femp_disc)^$A35)+D34</f>
        <v>21.989747596545552</v>
      </c>
      <c r="E35" s="15">
        <f>('DOE Fuel Esc Rates'!E256)/((1+DOEUPV_femp_disc)^$A35)+E34</f>
        <v>24.270973142242763</v>
      </c>
      <c r="F35" s="15">
        <f>('DOE Fuel Esc Rates'!F256)/((1+DOEUPV_femp_disc)^$A35)+F34</f>
        <v>19.673288861995921</v>
      </c>
      <c r="G35"/>
      <c r="H35" s="15">
        <f>('DOE Fuel Esc Rates'!H256)/((1+DOEUPV_femp_disc)^$A35)+H34</f>
        <v>20.782834207465786</v>
      </c>
      <c r="I35" s="15">
        <f>('DOE Fuel Esc Rates'!I256)/((1+DOEUPV_femp_disc)^$A35)+I34</f>
        <v>21.764653850108868</v>
      </c>
      <c r="J35" s="15">
        <f>('DOE Fuel Esc Rates'!J256)/((1+DOEUPV_femp_disc)^$A35)+J34</f>
        <v>23.594147547807886</v>
      </c>
      <c r="K35" s="15">
        <f>('DOE Fuel Esc Rates'!K256)/((1+DOEUPV_femp_disc)^$A35)+K34</f>
        <v>24.92911960642671</v>
      </c>
      <c r="L35" s="15">
        <f>('DOE Fuel Esc Rates'!L256)/((1+DOEUPV_femp_disc)^$A35)+L34</f>
        <v>19.13508533678759</v>
      </c>
      <c r="N35" s="15">
        <f>('DOE Fuel Esc Rates'!N256)/((1+DOEUPV_femp_disc)^$A35)+N34</f>
        <v>19.831621652693833</v>
      </c>
      <c r="O35" s="15">
        <f>('DOE Fuel Esc Rates'!O256)/((1+DOEUPV_femp_disc)^$A35)+O34</f>
        <v>22.293660526557748</v>
      </c>
      <c r="P35" s="15">
        <f>('DOE Fuel Esc Rates'!P256)/((1+DOEUPV_femp_disc)^$A35)+P34</f>
        <v>24.054305197427787</v>
      </c>
      <c r="Q35" s="15">
        <f>('DOE Fuel Esc Rates'!Q256)/((1+DOEUPV_femp_disc)^$A35)+Q34</f>
        <v>33.331783127914441</v>
      </c>
      <c r="R35" s="15">
        <f>('DOE Fuel Esc Rates'!R256)/((1+DOEUPV_femp_disc)^$A35)+R34</f>
        <v>19.42630094682583</v>
      </c>
      <c r="T35" s="33">
        <v>26</v>
      </c>
      <c r="U35" s="33"/>
    </row>
    <row r="36" spans="1:24" x14ac:dyDescent="0.2">
      <c r="A36" s="33">
        <v>27</v>
      </c>
      <c r="C36" s="15">
        <f>('DOE Fuel Esc Rates'!C257)/((1+DOEUPV_femp_disc)^$A36)+C35</f>
        <v>21.71521843618644</v>
      </c>
      <c r="D36" s="15">
        <f>('DOE Fuel Esc Rates'!D257)/((1+DOEUPV_femp_disc)^$A36)+D35</f>
        <v>22.743439841569852</v>
      </c>
      <c r="E36" s="15">
        <f>('DOE Fuel Esc Rates'!E257)/((1+DOEUPV_femp_disc)^$A36)+E35</f>
        <v>25.035820653827582</v>
      </c>
      <c r="F36" s="15">
        <f>('DOE Fuel Esc Rates'!F257)/((1+DOEUPV_femp_disc)^$A36)+F35</f>
        <v>20.225202472902783</v>
      </c>
      <c r="G36"/>
      <c r="H36" s="15">
        <f>('DOE Fuel Esc Rates'!H257)/((1+DOEUPV_femp_disc)^$A36)+H35</f>
        <v>21.379578537371646</v>
      </c>
      <c r="I36" s="15">
        <f>('DOE Fuel Esc Rates'!I257)/((1+DOEUPV_femp_disc)^$A36)+I35</f>
        <v>22.518522072458818</v>
      </c>
      <c r="J36" s="15">
        <f>('DOE Fuel Esc Rates'!J257)/((1+DOEUPV_femp_disc)^$A36)+J35</f>
        <v>24.478373838254246</v>
      </c>
      <c r="K36" s="15">
        <f>('DOE Fuel Esc Rates'!K257)/((1+DOEUPV_femp_disc)^$A36)+K35</f>
        <v>25.714317769479763</v>
      </c>
      <c r="L36" s="15">
        <f>('DOE Fuel Esc Rates'!L257)/((1+DOEUPV_femp_disc)^$A36)+L35</f>
        <v>19.648753238341786</v>
      </c>
      <c r="N36" s="15">
        <f>('DOE Fuel Esc Rates'!N257)/((1+DOEUPV_femp_disc)^$A36)+N35</f>
        <v>20.406837306330008</v>
      </c>
      <c r="O36" s="15">
        <f>('DOE Fuel Esc Rates'!O257)/((1+DOEUPV_femp_disc)^$A36)+O35</f>
        <v>23.05761101166086</v>
      </c>
      <c r="P36" s="15">
        <f>('DOE Fuel Esc Rates'!P257)/((1+DOEUPV_femp_disc)^$A36)+P35</f>
        <v>24.955731885952108</v>
      </c>
      <c r="Q36" s="15">
        <f>('DOE Fuel Esc Rates'!Q257)/((1+DOEUPV_femp_disc)^$A36)+Q35</f>
        <v>34.464114603357956</v>
      </c>
      <c r="R36" s="15">
        <f>('DOE Fuel Esc Rates'!R257)/((1+DOEUPV_femp_disc)^$A36)+R35</f>
        <v>19.976833346346339</v>
      </c>
      <c r="T36" s="33">
        <v>27</v>
      </c>
      <c r="U36" s="33"/>
    </row>
    <row r="37" spans="1:24" x14ac:dyDescent="0.2">
      <c r="A37" s="33">
        <v>28</v>
      </c>
      <c r="C37" s="15">
        <f>('DOE Fuel Esc Rates'!C258)/((1+DOEUPV_femp_disc)^$A37)+C36</f>
        <v>22.305729851109305</v>
      </c>
      <c r="D37" s="15">
        <f>('DOE Fuel Esc Rates'!D258)/((1+DOEUPV_femp_disc)^$A37)+D36</f>
        <v>23.490789769324568</v>
      </c>
      <c r="E37" s="15">
        <f>('DOE Fuel Esc Rates'!E258)/((1+DOEUPV_femp_disc)^$A37)+E36</f>
        <v>25.785752346109469</v>
      </c>
      <c r="F37" s="15">
        <f>('DOE Fuel Esc Rates'!F258)/((1+DOEUPV_femp_disc)^$A37)+F36</f>
        <v>20.764673146879261</v>
      </c>
      <c r="G37"/>
      <c r="H37" s="15">
        <f>('DOE Fuel Esc Rates'!H258)/((1+DOEUPV_femp_disc)^$A37)+H36</f>
        <v>21.96218141588502</v>
      </c>
      <c r="I37" s="15">
        <f>('DOE Fuel Esc Rates'!I258)/((1+DOEUPV_femp_disc)^$A37)+I36</f>
        <v>23.266506823350475</v>
      </c>
      <c r="J37" s="15">
        <f>('DOE Fuel Esc Rates'!J258)/((1+DOEUPV_femp_disc)^$A37)+J36</f>
        <v>25.361202150383214</v>
      </c>
      <c r="K37" s="15">
        <f>('DOE Fuel Esc Rates'!K258)/((1+DOEUPV_femp_disc)^$A37)+K36</f>
        <v>26.486870100741523</v>
      </c>
      <c r="L37" s="15">
        <f>('DOE Fuel Esc Rates'!L258)/((1+DOEUPV_femp_disc)^$A37)+L36</f>
        <v>20.150293499678352</v>
      </c>
      <c r="N37" s="15">
        <f>('DOE Fuel Esc Rates'!N258)/((1+DOEUPV_femp_disc)^$A37)+N36</f>
        <v>20.969224493051886</v>
      </c>
      <c r="O37" s="15">
        <f>('DOE Fuel Esc Rates'!O258)/((1+DOEUPV_femp_disc)^$A37)+O36</f>
        <v>23.814981731299987</v>
      </c>
      <c r="P37" s="15">
        <f>('DOE Fuel Esc Rates'!P258)/((1+DOEUPV_femp_disc)^$A37)+P36</f>
        <v>25.855675635492457</v>
      </c>
      <c r="Q37" s="15">
        <f>('DOE Fuel Esc Rates'!Q258)/((1+DOEUPV_femp_disc)^$A37)+Q36</f>
        <v>35.582837373245695</v>
      </c>
      <c r="R37" s="15">
        <f>('DOE Fuel Esc Rates'!R258)/((1+DOEUPV_femp_disc)^$A37)+R36</f>
        <v>20.516596806586925</v>
      </c>
      <c r="T37" s="33">
        <v>28</v>
      </c>
      <c r="U37" s="33"/>
    </row>
    <row r="38" spans="1:24" x14ac:dyDescent="0.2">
      <c r="A38" s="33">
        <v>29</v>
      </c>
      <c r="C38" s="15">
        <f>('DOE Fuel Esc Rates'!C259)/((1+DOEUPV_femp_disc)^$A38)+C37</f>
        <v>22.882316903921019</v>
      </c>
      <c r="D38" s="15">
        <f>('DOE Fuel Esc Rates'!D259)/((1+DOEUPV_femp_disc)^$A38)+D37</f>
        <v>24.231942662385205</v>
      </c>
      <c r="E38" s="15">
        <f>('DOE Fuel Esc Rates'!E259)/((1+DOEUPV_femp_disc)^$A38)+E37</f>
        <v>26.520988253844287</v>
      </c>
      <c r="F38" s="15">
        <f>('DOE Fuel Esc Rates'!F259)/((1+DOEUPV_femp_disc)^$A38)+F37</f>
        <v>21.291957506842198</v>
      </c>
      <c r="G38"/>
      <c r="H38" s="15">
        <f>('DOE Fuel Esc Rates'!H259)/((1+DOEUPV_femp_disc)^$A38)+H37</f>
        <v>22.531081342311307</v>
      </c>
      <c r="I38" s="15">
        <f>('DOE Fuel Esc Rates'!I259)/((1+DOEUPV_femp_disc)^$A38)+I37</f>
        <v>24.008738848494257</v>
      </c>
      <c r="J38" s="15">
        <f>('DOE Fuel Esc Rates'!J259)/((1+DOEUPV_femp_disc)^$A38)+J37</f>
        <v>26.242287727070057</v>
      </c>
      <c r="K38" s="15">
        <f>('DOE Fuel Esc Rates'!K259)/((1+DOEUPV_femp_disc)^$A38)+K37</f>
        <v>27.246847138488885</v>
      </c>
      <c r="L38" s="15">
        <f>('DOE Fuel Esc Rates'!L259)/((1+DOEUPV_femp_disc)^$A38)+L37</f>
        <v>20.639289064664226</v>
      </c>
      <c r="N38" s="15">
        <f>('DOE Fuel Esc Rates'!N259)/((1+DOEUPV_femp_disc)^$A38)+N37</f>
        <v>21.519042525864492</v>
      </c>
      <c r="O38" s="15">
        <f>('DOE Fuel Esc Rates'!O259)/((1+DOEUPV_femp_disc)^$A38)+O37</f>
        <v>24.565716307434361</v>
      </c>
      <c r="P38" s="15">
        <f>('DOE Fuel Esc Rates'!P259)/((1+DOEUPV_femp_disc)^$A38)+P37</f>
        <v>26.753787579307343</v>
      </c>
      <c r="Q38" s="15">
        <f>('DOE Fuel Esc Rates'!Q259)/((1+DOEUPV_femp_disc)^$A38)+Q37</f>
        <v>36.687783579792239</v>
      </c>
      <c r="R38" s="15">
        <f>('DOE Fuel Esc Rates'!R259)/((1+DOEUPV_femp_disc)^$A38)+R37</f>
        <v>21.044473456076297</v>
      </c>
      <c r="T38" s="33">
        <v>29</v>
      </c>
      <c r="U38" s="33"/>
    </row>
    <row r="39" spans="1:24" x14ac:dyDescent="0.2">
      <c r="A39" s="33">
        <v>30</v>
      </c>
      <c r="C39" s="15">
        <f>('DOE Fuel Esc Rates'!C260)/((1+DOEUPV_femp_disc)^$A39)+C38</f>
        <v>23.44538061626492</v>
      </c>
      <c r="D39" s="15">
        <f>('DOE Fuel Esc Rates'!D260)/((1+DOEUPV_femp_disc)^$A39)+D38</f>
        <v>24.9670286271379</v>
      </c>
      <c r="E39" s="15">
        <f>('DOE Fuel Esc Rates'!E260)/((1+DOEUPV_femp_disc)^$A39)+E38</f>
        <v>27.241748247860535</v>
      </c>
      <c r="F39" s="15">
        <f>('DOE Fuel Esc Rates'!F260)/((1+DOEUPV_femp_disc)^$A39)+F38</f>
        <v>21.80730778259597</v>
      </c>
      <c r="G39"/>
      <c r="H39" s="15">
        <f>('DOE Fuel Esc Rates'!H260)/((1+DOEUPV_femp_disc)^$A39)+H38</f>
        <v>23.086582303688228</v>
      </c>
      <c r="I39" s="15">
        <f>('DOE Fuel Esc Rates'!I260)/((1+DOEUPV_femp_disc)^$A39)+I38</f>
        <v>24.745333815507838</v>
      </c>
      <c r="J39" s="15">
        <f>('DOE Fuel Esc Rates'!J260)/((1+DOEUPV_femp_disc)^$A39)+J38</f>
        <v>27.121926632692951</v>
      </c>
      <c r="K39" s="15">
        <f>('DOE Fuel Esc Rates'!K260)/((1+DOEUPV_femp_disc)^$A39)+K38</f>
        <v>27.994326039891284</v>
      </c>
      <c r="L39" s="15">
        <f>('DOE Fuel Esc Rates'!L260)/((1+DOEUPV_femp_disc)^$A39)+L38</f>
        <v>21.116712943195626</v>
      </c>
      <c r="N39" s="15">
        <f>('DOE Fuel Esc Rates'!N260)/((1+DOEUPV_femp_disc)^$A39)+N38</f>
        <v>22.056546495015297</v>
      </c>
      <c r="O39" s="15">
        <f>('DOE Fuel Esc Rates'!O260)/((1+DOEUPV_femp_disc)^$A39)+O38</f>
        <v>25.310165859624451</v>
      </c>
      <c r="P39" s="15">
        <f>('DOE Fuel Esc Rates'!P260)/((1+DOEUPV_femp_disc)^$A39)+P38</f>
        <v>27.650370566048871</v>
      </c>
      <c r="Q39" s="15">
        <f>('DOE Fuel Esc Rates'!Q260)/((1+DOEUPV_femp_disc)^$A39)+Q38</f>
        <v>37.778806688094754</v>
      </c>
      <c r="R39" s="15">
        <f>('DOE Fuel Esc Rates'!R260)/((1+DOEUPV_femp_disc)^$A39)+R38</f>
        <v>21.560697829445626</v>
      </c>
      <c r="T39" s="33">
        <v>30</v>
      </c>
      <c r="U39" s="33"/>
    </row>
    <row r="40" spans="1:24" ht="3.75" customHeight="1" x14ac:dyDescent="0.2">
      <c r="G40"/>
      <c r="H40"/>
      <c r="I40"/>
      <c r="J40"/>
      <c r="K40"/>
      <c r="L40"/>
      <c r="N40"/>
      <c r="O40"/>
      <c r="P40"/>
      <c r="Q40"/>
      <c r="R40"/>
    </row>
    <row r="41" spans="1:24" ht="21" x14ac:dyDescent="0.4">
      <c r="A41" s="17" t="s">
        <v>107</v>
      </c>
      <c r="B41" s="34"/>
      <c r="C41" s="26"/>
      <c r="D41" s="7"/>
      <c r="E41" s="7"/>
      <c r="F41" s="7"/>
      <c r="G41" s="7"/>
      <c r="H41" s="7"/>
      <c r="I41" s="7"/>
      <c r="J41" s="7"/>
      <c r="K41" s="7"/>
      <c r="L41" s="7"/>
      <c r="M41" s="4"/>
      <c r="N41" s="4"/>
      <c r="O41" s="4"/>
      <c r="P41" s="4"/>
      <c r="Q41" s="4"/>
      <c r="R41" s="4"/>
      <c r="S41" s="34"/>
      <c r="T41" s="4"/>
      <c r="U41" s="17"/>
    </row>
    <row r="42" spans="1:24" ht="18.75" x14ac:dyDescent="0.3">
      <c r="A42" s="18" t="s">
        <v>108</v>
      </c>
      <c r="B42" s="35"/>
      <c r="C42" s="26"/>
      <c r="D42" s="7"/>
      <c r="E42" s="7"/>
      <c r="F42" s="7"/>
      <c r="G42" s="7"/>
      <c r="H42" s="7"/>
      <c r="I42" s="7"/>
      <c r="J42" s="7"/>
      <c r="K42" s="7"/>
      <c r="L42" s="7"/>
      <c r="M42" s="4"/>
      <c r="N42" s="4"/>
      <c r="O42" s="4"/>
      <c r="P42" s="4"/>
      <c r="Q42" s="4"/>
      <c r="R42" s="4"/>
      <c r="S42" s="35"/>
      <c r="T42" s="4"/>
      <c r="U42" s="18"/>
    </row>
    <row r="43" spans="1:24" ht="18.75" x14ac:dyDescent="0.3">
      <c r="A43" s="18"/>
      <c r="B43" s="35"/>
      <c r="C43" s="26"/>
      <c r="D43" s="7"/>
      <c r="E43" s="7"/>
      <c r="F43" s="7"/>
      <c r="G43" s="7"/>
      <c r="H43" s="7"/>
      <c r="I43"/>
      <c r="J43"/>
      <c r="K43"/>
      <c r="L43"/>
      <c r="M43" s="28" t="str">
        <f>$M$3</f>
        <v>DOE discount rate (2015 data) =</v>
      </c>
      <c r="N43" s="39">
        <f>'General Data'!$M$10</f>
        <v>0.03</v>
      </c>
      <c r="O43" s="4"/>
      <c r="P43" s="4"/>
      <c r="Q43" s="4"/>
      <c r="R43" s="4"/>
      <c r="S43" s="35"/>
      <c r="T43" s="4"/>
      <c r="U43" s="18"/>
      <c r="X43" s="1"/>
    </row>
    <row r="44" spans="1:24" ht="4.5" customHeight="1" x14ac:dyDescent="0.3">
      <c r="A44" s="18"/>
      <c r="B44" s="35"/>
      <c r="C44" s="26"/>
      <c r="D44" s="7"/>
      <c r="E44" s="7"/>
      <c r="F44" s="7"/>
      <c r="G44" s="7"/>
      <c r="H44" s="7"/>
      <c r="I44"/>
      <c r="J44"/>
      <c r="K44" s="28"/>
      <c r="L44" s="36"/>
      <c r="M44" s="4"/>
      <c r="N44" s="4"/>
      <c r="O44" s="4"/>
      <c r="P44" s="4"/>
      <c r="Q44" s="4"/>
      <c r="R44" s="4"/>
      <c r="S44" s="35"/>
      <c r="T44" s="4"/>
      <c r="U44" s="18"/>
      <c r="X44" s="1"/>
    </row>
    <row r="45" spans="1:24" ht="15.75" customHeight="1" x14ac:dyDescent="0.25">
      <c r="A45" s="31" t="s">
        <v>115</v>
      </c>
      <c r="B45" s="4"/>
      <c r="C45" s="4"/>
      <c r="D45" s="4"/>
      <c r="E45" s="4"/>
      <c r="F45" s="4"/>
      <c r="G45" s="4"/>
      <c r="H45" s="4"/>
      <c r="I45" s="4"/>
      <c r="J45" s="4"/>
      <c r="K45" s="4"/>
      <c r="L45" s="4"/>
      <c r="M45" s="4"/>
      <c r="N45" s="4"/>
      <c r="O45" s="4"/>
      <c r="P45" s="4"/>
      <c r="Q45" s="4"/>
      <c r="R45" s="4"/>
      <c r="S45" s="4"/>
      <c r="T45" s="31"/>
      <c r="U45"/>
    </row>
    <row r="46" spans="1:24" ht="15" x14ac:dyDescent="0.2">
      <c r="A46" s="37" t="s">
        <v>116</v>
      </c>
      <c r="B46" s="4"/>
      <c r="C46" s="4"/>
      <c r="D46" s="4"/>
      <c r="E46" s="4"/>
      <c r="F46" s="4"/>
      <c r="G46" s="4"/>
      <c r="H46" s="4"/>
      <c r="I46" s="4"/>
      <c r="J46" s="4"/>
      <c r="K46" s="4"/>
      <c r="L46" s="4"/>
      <c r="M46" s="4"/>
      <c r="N46" s="4"/>
      <c r="O46" s="4"/>
      <c r="P46" s="4"/>
      <c r="Q46" s="4"/>
      <c r="R46" s="4"/>
      <c r="S46" s="4"/>
      <c r="T46" s="4"/>
      <c r="U46"/>
    </row>
    <row r="47" spans="1:24" ht="4.5" customHeight="1" x14ac:dyDescent="0.2">
      <c r="D47" s="4"/>
      <c r="E47" s="4"/>
      <c r="F47" s="4"/>
      <c r="G47" s="12"/>
      <c r="H47" s="12"/>
      <c r="I47" s="12"/>
      <c r="J47" s="12"/>
      <c r="K47" s="12"/>
      <c r="L47" s="12"/>
      <c r="N47" s="12"/>
      <c r="O47" s="12"/>
      <c r="P47" s="12"/>
      <c r="Q47" s="12"/>
      <c r="R47" s="12"/>
    </row>
    <row r="48" spans="1:24" x14ac:dyDescent="0.2">
      <c r="A48"/>
      <c r="C48" s="29" t="s">
        <v>111</v>
      </c>
      <c r="D48" s="4"/>
      <c r="E48" s="4"/>
      <c r="F48" s="4"/>
      <c r="G48" s="12"/>
      <c r="H48" s="29" t="s">
        <v>112</v>
      </c>
      <c r="I48" s="4"/>
      <c r="J48" s="4"/>
      <c r="K48" s="4"/>
      <c r="L48" s="4"/>
      <c r="N48" s="29" t="s">
        <v>113</v>
      </c>
      <c r="O48" s="4"/>
      <c r="P48" s="4"/>
      <c r="Q48" s="4"/>
      <c r="R48" s="4"/>
      <c r="T48"/>
    </row>
    <row r="49" spans="1:21" x14ac:dyDescent="0.2">
      <c r="A49" s="1" t="s">
        <v>114</v>
      </c>
      <c r="C49" s="32" t="str">
        <f>'DOE Fuel Esc Rates'!C267</f>
        <v>Electric</v>
      </c>
      <c r="D49" s="32" t="str">
        <f>'DOE Fuel Esc Rates'!D267</f>
        <v>Dist</v>
      </c>
      <c r="E49" s="32" t="str">
        <f>'DOE Fuel Esc Rates'!E267</f>
        <v>Nat Gas</v>
      </c>
      <c r="F49" s="32" t="str">
        <f>'DOE Fuel Esc Rates'!F267</f>
        <v>LPG</v>
      </c>
      <c r="G49" s="32"/>
      <c r="H49" s="32" t="str">
        <f>'DOE Fuel Esc Rates'!H267</f>
        <v>Electric</v>
      </c>
      <c r="I49" s="32" t="str">
        <f>'DOE Fuel Esc Rates'!I267</f>
        <v>Dist</v>
      </c>
      <c r="J49" s="32" t="str">
        <f>'DOE Fuel Esc Rates'!J267</f>
        <v>Resid</v>
      </c>
      <c r="K49" s="32" t="str">
        <f>'DOE Fuel Esc Rates'!K267</f>
        <v>Nat Gas</v>
      </c>
      <c r="L49" s="32" t="str">
        <f>'DOE Fuel Esc Rates'!L267</f>
        <v>Coal</v>
      </c>
      <c r="M49" s="32"/>
      <c r="N49" s="32" t="str">
        <f>'DOE Fuel Esc Rates'!N267</f>
        <v>Electric</v>
      </c>
      <c r="O49" s="32" t="str">
        <f>'DOE Fuel Esc Rates'!O267</f>
        <v>Dist</v>
      </c>
      <c r="P49" s="32" t="str">
        <f>'DOE Fuel Esc Rates'!P267</f>
        <v>Resid</v>
      </c>
      <c r="Q49" s="32" t="str">
        <f>'DOE Fuel Esc Rates'!Q267</f>
        <v>Nat Gas</v>
      </c>
      <c r="R49" s="32" t="str">
        <f>'DOE Fuel Esc Rates'!R267</f>
        <v>Coal</v>
      </c>
      <c r="T49" s="1" t="s">
        <v>114</v>
      </c>
    </row>
    <row r="50" spans="1:21" x14ac:dyDescent="0.2">
      <c r="A50" s="33">
        <v>1</v>
      </c>
      <c r="C50" s="15">
        <f>('DOE Fuel Esc Rates'!C268)/((1+DOEUPV_femp_disc)^$A50)</f>
        <v>1.0036093002434177</v>
      </c>
      <c r="D50" s="15">
        <f>('DOE Fuel Esc Rates'!D268)/((1+DOEUPV_femp_disc)^$A50)</f>
        <v>0.95466800241613514</v>
      </c>
      <c r="E50" s="15">
        <f>('DOE Fuel Esc Rates'!E268)/((1+DOEUPV_femp_disc)^$A50)</f>
        <v>0.95582925459359691</v>
      </c>
      <c r="F50" s="15">
        <f>('DOE Fuel Esc Rates'!F268)/((1+DOEUPV_femp_disc)^$A50)</f>
        <v>0.97761596548004337</v>
      </c>
      <c r="G50"/>
      <c r="H50" s="15">
        <f>('DOE Fuel Esc Rates'!H268)/((1+DOEUPV_femp_disc)^$A50)</f>
        <v>0.99150796728415058</v>
      </c>
      <c r="I50" s="15">
        <f>('DOE Fuel Esc Rates'!I268)/((1+DOEUPV_femp_disc)^$A50)</f>
        <v>0.95488634381721993</v>
      </c>
      <c r="J50" s="15">
        <f>('DOE Fuel Esc Rates'!J268)/((1+DOEUPV_femp_disc)^$A50)</f>
        <v>0.97833487218227433</v>
      </c>
      <c r="K50" s="15">
        <f>('DOE Fuel Esc Rates'!K268)/((1+DOEUPV_femp_disc)^$A50)</f>
        <v>0.970873786407767</v>
      </c>
      <c r="L50" s="15">
        <f>('DOE Fuel Esc Rates'!L268)/((1+DOEUPV_femp_disc)^$A50)</f>
        <v>0.97690405837303251</v>
      </c>
      <c r="N50" s="15">
        <f>('DOE Fuel Esc Rates'!N268)/((1+DOEUPV_femp_disc)^$A50)</f>
        <v>0.97925543060697073</v>
      </c>
      <c r="O50" s="15">
        <f>('DOE Fuel Esc Rates'!O268)/((1+DOEUPV_femp_disc)^$A50)</f>
        <v>0.95503419488288022</v>
      </c>
      <c r="P50" s="15">
        <f>('DOE Fuel Esc Rates'!P268)/((1+DOEUPV_femp_disc)^$A50)</f>
        <v>0.97860983251460176</v>
      </c>
      <c r="Q50" s="15">
        <f>('DOE Fuel Esc Rates'!Q268)/((1+DOEUPV_femp_disc)^$A50)</f>
        <v>0.95113328428117649</v>
      </c>
      <c r="R50" s="15">
        <f>('DOE Fuel Esc Rates'!R268)/((1+DOEUPV_femp_disc)^$A50)</f>
        <v>0.99362864077669899</v>
      </c>
      <c r="T50" s="33">
        <v>1</v>
      </c>
      <c r="U50" s="33"/>
    </row>
    <row r="51" spans="1:21" x14ac:dyDescent="0.2">
      <c r="A51" s="33">
        <v>2</v>
      </c>
      <c r="C51" s="15">
        <f>('DOE Fuel Esc Rates'!C269)/((1+DOEUPV_femp_disc)^$A51)+C50</f>
        <v>2.00433648446496</v>
      </c>
      <c r="D51" s="15">
        <f>('DOE Fuel Esc Rates'!D269)/((1+DOEUPV_femp_disc)^$A51)+D50</f>
        <v>1.8958335687439203</v>
      </c>
      <c r="E51" s="15">
        <f>('DOE Fuel Esc Rates'!E269)/((1+DOEUPV_femp_disc)^$A51)+E50</f>
        <v>1.882845066055719</v>
      </c>
      <c r="F51" s="15">
        <f>('DOE Fuel Esc Rates'!F269)/((1+DOEUPV_femp_disc)^$A51)+F50</f>
        <v>1.9519338523250302</v>
      </c>
      <c r="G51"/>
      <c r="H51" s="15">
        <f>('DOE Fuel Esc Rates'!H269)/((1+DOEUPV_femp_disc)^$A51)+H50</f>
        <v>1.9745156467985021</v>
      </c>
      <c r="I51" s="15">
        <f>('DOE Fuel Esc Rates'!I269)/((1+DOEUPV_femp_disc)^$A51)+I50</f>
        <v>1.9130040418738359</v>
      </c>
      <c r="J51" s="15">
        <f>('DOE Fuel Esc Rates'!J269)/((1+DOEUPV_femp_disc)^$A51)+J50</f>
        <v>1.9888411494092386</v>
      </c>
      <c r="K51" s="15">
        <f>('DOE Fuel Esc Rates'!K269)/((1+DOEUPV_femp_disc)^$A51)+K50</f>
        <v>1.9034657295247717</v>
      </c>
      <c r="L51" s="15">
        <f>('DOE Fuel Esc Rates'!L269)/((1+DOEUPV_femp_disc)^$A51)+L50</f>
        <v>1.945845815898724</v>
      </c>
      <c r="N51" s="15">
        <f>('DOE Fuel Esc Rates'!N269)/((1+DOEUPV_femp_disc)^$A51)+N50</f>
        <v>1.9412909676029559</v>
      </c>
      <c r="O51" s="15">
        <f>('DOE Fuel Esc Rates'!O269)/((1+DOEUPV_femp_disc)^$A51)+O50</f>
        <v>1.8976301040166346</v>
      </c>
      <c r="P51" s="15">
        <f>('DOE Fuel Esc Rates'!P269)/((1+DOEUPV_femp_disc)^$A51)+P50</f>
        <v>2.0122732747021157</v>
      </c>
      <c r="Q51" s="15">
        <f>('DOE Fuel Esc Rates'!Q269)/((1+DOEUPV_femp_disc)^$A51)+Q50</f>
        <v>1.9041831221668764</v>
      </c>
      <c r="R51" s="15">
        <f>('DOE Fuel Esc Rates'!R269)/((1+DOEUPV_femp_disc)^$A51)+R50</f>
        <v>1.9804087331510982</v>
      </c>
      <c r="T51" s="33">
        <v>2</v>
      </c>
      <c r="U51" s="33"/>
    </row>
    <row r="52" spans="1:21" x14ac:dyDescent="0.2">
      <c r="A52" s="33">
        <v>3</v>
      </c>
      <c r="C52" s="15">
        <f>('DOE Fuel Esc Rates'!C270)/((1+DOEUPV_femp_disc)^$A52)+C51</f>
        <v>2.9790810299892474</v>
      </c>
      <c r="D52" s="15">
        <f>('DOE Fuel Esc Rates'!D270)/((1+DOEUPV_femp_disc)^$A52)+D51</f>
        <v>2.8081978634252951</v>
      </c>
      <c r="E52" s="15">
        <f>('DOE Fuel Esc Rates'!E270)/((1+DOEUPV_femp_disc)^$A52)+E51</f>
        <v>2.7885327826469659</v>
      </c>
      <c r="F52" s="15">
        <f>('DOE Fuel Esc Rates'!F270)/((1+DOEUPV_femp_disc)^$A52)+F51</f>
        <v>2.9066729873232786</v>
      </c>
      <c r="G52"/>
      <c r="H52" s="15">
        <f>('DOE Fuel Esc Rates'!H270)/((1+DOEUPV_femp_disc)^$A52)+H51</f>
        <v>2.9285566951164719</v>
      </c>
      <c r="I52" s="15">
        <f>('DOE Fuel Esc Rates'!I270)/((1+DOEUPV_femp_disc)^$A52)+I51</f>
        <v>2.8486952893861233</v>
      </c>
      <c r="J52" s="15">
        <f>('DOE Fuel Esc Rates'!J270)/((1+DOEUPV_femp_disc)^$A52)+J51</f>
        <v>2.977827092514238</v>
      </c>
      <c r="K52" s="15">
        <f>('DOE Fuel Esc Rates'!K270)/((1+DOEUPV_femp_disc)^$A52)+K51</f>
        <v>2.8002613886314647</v>
      </c>
      <c r="L52" s="15">
        <f>('DOE Fuel Esc Rates'!L270)/((1+DOEUPV_femp_disc)^$A52)+L51</f>
        <v>2.8922500785217116</v>
      </c>
      <c r="N52" s="15">
        <f>('DOE Fuel Esc Rates'!N270)/((1+DOEUPV_femp_disc)^$A52)+N51</f>
        <v>2.8704779665720874</v>
      </c>
      <c r="O52" s="15">
        <f>('DOE Fuel Esc Rates'!O270)/((1+DOEUPV_femp_disc)^$A52)+O51</f>
        <v>2.8132108908454914</v>
      </c>
      <c r="P52" s="15">
        <f>('DOE Fuel Esc Rates'!P270)/((1+DOEUPV_femp_disc)^$A52)+P51</f>
        <v>3.0304139455163384</v>
      </c>
      <c r="Q52" s="15">
        <f>('DOE Fuel Esc Rates'!Q270)/((1+DOEUPV_femp_disc)^$A52)+Q51</f>
        <v>2.8768383053980533</v>
      </c>
      <c r="R52" s="15">
        <f>('DOE Fuel Esc Rates'!R270)/((1+DOEUPV_femp_disc)^$A52)+R51</f>
        <v>2.9455972020001338</v>
      </c>
      <c r="T52" s="33">
        <v>3</v>
      </c>
      <c r="U52" s="33"/>
    </row>
    <row r="53" spans="1:21" x14ac:dyDescent="0.2">
      <c r="A53" s="33">
        <v>4</v>
      </c>
      <c r="C53" s="15">
        <f>('DOE Fuel Esc Rates'!C271)/((1+DOEUPV_femp_disc)^$A53)+C52</f>
        <v>3.9279954390888276</v>
      </c>
      <c r="D53" s="15">
        <f>('DOE Fuel Esc Rates'!D271)/((1+DOEUPV_femp_disc)^$A53)+D52</f>
        <v>3.704324911247189</v>
      </c>
      <c r="E53" s="15">
        <f>('DOE Fuel Esc Rates'!E271)/((1+DOEUPV_femp_disc)^$A53)+E52</f>
        <v>3.6972127180152841</v>
      </c>
      <c r="F53" s="15">
        <f>('DOE Fuel Esc Rates'!F271)/((1+DOEUPV_femp_disc)^$A53)+F52</f>
        <v>3.8402488544440909</v>
      </c>
      <c r="G53"/>
      <c r="H53" s="15">
        <f>('DOE Fuel Esc Rates'!H271)/((1+DOEUPV_femp_disc)^$A53)+H52</f>
        <v>3.8554612848621543</v>
      </c>
      <c r="I53" s="15">
        <f>('DOE Fuel Esc Rates'!I271)/((1+DOEUPV_femp_disc)^$A53)+I52</f>
        <v>3.76733060040474</v>
      </c>
      <c r="J53" s="15">
        <f>('DOE Fuel Esc Rates'!J271)/((1+DOEUPV_femp_disc)^$A53)+J52</f>
        <v>3.955930989643325</v>
      </c>
      <c r="K53" s="15">
        <f>('DOE Fuel Esc Rates'!K271)/((1+DOEUPV_femp_disc)^$A53)+K52</f>
        <v>3.6981781339896553</v>
      </c>
      <c r="L53" s="15">
        <f>('DOE Fuel Esc Rates'!L271)/((1+DOEUPV_femp_disc)^$A53)+L52</f>
        <v>3.8166077215395866</v>
      </c>
      <c r="N53" s="15">
        <f>('DOE Fuel Esc Rates'!N271)/((1+DOEUPV_femp_disc)^$A53)+N52</f>
        <v>3.7747319309256087</v>
      </c>
      <c r="O53" s="15">
        <f>('DOE Fuel Esc Rates'!O271)/((1+DOEUPV_femp_disc)^$A53)+O52</f>
        <v>3.7123563726373283</v>
      </c>
      <c r="P53" s="15">
        <f>('DOE Fuel Esc Rates'!P271)/((1+DOEUPV_femp_disc)^$A53)+P52</f>
        <v>4.0365989788630898</v>
      </c>
      <c r="Q53" s="15">
        <f>('DOE Fuel Esc Rates'!Q271)/((1+DOEUPV_femp_disc)^$A53)+Q52</f>
        <v>3.8753597936286241</v>
      </c>
      <c r="R53" s="15">
        <f>('DOE Fuel Esc Rates'!R271)/((1+DOEUPV_femp_disc)^$A53)+R52</f>
        <v>3.893085342941474</v>
      </c>
      <c r="T53" s="33">
        <v>4</v>
      </c>
      <c r="U53" s="33"/>
    </row>
    <row r="54" spans="1:21" x14ac:dyDescent="0.2">
      <c r="A54" s="33">
        <v>5</v>
      </c>
      <c r="C54" s="15">
        <f>('DOE Fuel Esc Rates'!C272)/((1+DOEUPV_femp_disc)^$A54)+C53</f>
        <v>4.8649327613781397</v>
      </c>
      <c r="D54" s="15">
        <f>('DOE Fuel Esc Rates'!D272)/((1+DOEUPV_femp_disc)^$A54)+D53</f>
        <v>4.5856955457722322</v>
      </c>
      <c r="E54" s="15">
        <f>('DOE Fuel Esc Rates'!E272)/((1+DOEUPV_femp_disc)^$A54)+E53</f>
        <v>4.620417987252881</v>
      </c>
      <c r="F54" s="15">
        <f>('DOE Fuel Esc Rates'!F272)/((1+DOEUPV_femp_disc)^$A54)+F53</f>
        <v>4.7507803490718201</v>
      </c>
      <c r="G54"/>
      <c r="H54" s="15">
        <f>('DOE Fuel Esc Rates'!H272)/((1+DOEUPV_femp_disc)^$A54)+H53</f>
        <v>4.7683283311433806</v>
      </c>
      <c r="I54" s="15">
        <f>('DOE Fuel Esc Rates'!I272)/((1+DOEUPV_femp_disc)^$A54)+I53</f>
        <v>4.6716924047915311</v>
      </c>
      <c r="J54" s="15">
        <f>('DOE Fuel Esc Rates'!J272)/((1+DOEUPV_femp_disc)^$A54)+J53</f>
        <v>4.9270909274898571</v>
      </c>
      <c r="K54" s="15">
        <f>('DOE Fuel Esc Rates'!K272)/((1+DOEUPV_femp_disc)^$A54)+K53</f>
        <v>4.6136827400577545</v>
      </c>
      <c r="L54" s="15">
        <f>('DOE Fuel Esc Rates'!L272)/((1+DOEUPV_femp_disc)^$A54)+L53</f>
        <v>4.727436872752679</v>
      </c>
      <c r="N54" s="15">
        <f>('DOE Fuel Esc Rates'!N272)/((1+DOEUPV_femp_disc)^$A54)+N53</f>
        <v>4.6679560870337191</v>
      </c>
      <c r="O54" s="15">
        <f>('DOE Fuel Esc Rates'!O272)/((1+DOEUPV_femp_disc)^$A54)+O53</f>
        <v>4.5985585834657812</v>
      </c>
      <c r="P54" s="15">
        <f>('DOE Fuel Esc Rates'!P272)/((1+DOEUPV_femp_disc)^$A54)+P53</f>
        <v>5.0358161265112802</v>
      </c>
      <c r="Q54" s="15">
        <f>('DOE Fuel Esc Rates'!Q272)/((1+DOEUPV_femp_disc)^$A54)+Q53</f>
        <v>4.9069824987978556</v>
      </c>
      <c r="R54" s="15">
        <f>('DOE Fuel Esc Rates'!R272)/((1+DOEUPV_femp_disc)^$A54)+R53</f>
        <v>4.8298245697336526</v>
      </c>
      <c r="T54" s="33">
        <v>5</v>
      </c>
      <c r="U54" s="33"/>
    </row>
    <row r="55" spans="1:21" x14ac:dyDescent="0.2">
      <c r="A55" s="33">
        <v>6</v>
      </c>
      <c r="C55" s="15">
        <f>('DOE Fuel Esc Rates'!C273)/((1+DOEUPV_femp_disc)^$A55)+C54</f>
        <v>5.7885789430289591</v>
      </c>
      <c r="D55" s="15">
        <f>('DOE Fuel Esc Rates'!D273)/((1+DOEUPV_femp_disc)^$A55)+D54</f>
        <v>5.4566452836283741</v>
      </c>
      <c r="E55" s="15">
        <f>('DOE Fuel Esc Rates'!E273)/((1+DOEUPV_femp_disc)^$A55)+E54</f>
        <v>5.5461495519755157</v>
      </c>
      <c r="F55" s="15">
        <f>('DOE Fuel Esc Rates'!F273)/((1+DOEUPV_femp_disc)^$A55)+F54</f>
        <v>5.6383705014544967</v>
      </c>
      <c r="G55"/>
      <c r="H55" s="15">
        <f>('DOE Fuel Esc Rates'!H273)/((1+DOEUPV_femp_disc)^$A55)+H54</f>
        <v>5.6653479289031177</v>
      </c>
      <c r="I55" s="15">
        <f>('DOE Fuel Esc Rates'!I273)/((1+DOEUPV_femp_disc)^$A55)+I54</f>
        <v>5.5651761077803803</v>
      </c>
      <c r="J55" s="15">
        <f>('DOE Fuel Esc Rates'!J273)/((1+DOEUPV_femp_disc)^$A55)+J54</f>
        <v>5.8949041463087202</v>
      </c>
      <c r="K55" s="15">
        <f>('DOE Fuel Esc Rates'!K273)/((1+DOEUPV_femp_disc)^$A55)+K54</f>
        <v>5.5321501442037437</v>
      </c>
      <c r="L55" s="15">
        <f>('DOE Fuel Esc Rates'!L273)/((1+DOEUPV_femp_disc)^$A55)+L54</f>
        <v>5.6195396679157019</v>
      </c>
      <c r="N55" s="15">
        <f>('DOE Fuel Esc Rates'!N273)/((1+DOEUPV_femp_disc)^$A55)+N54</f>
        <v>5.5484191520939445</v>
      </c>
      <c r="O55" s="15">
        <f>('DOE Fuel Esc Rates'!O273)/((1+DOEUPV_femp_disc)^$A55)+O54</f>
        <v>5.4742199055932685</v>
      </c>
      <c r="P55" s="15">
        <f>('DOE Fuel Esc Rates'!P273)/((1+DOEUPV_femp_disc)^$A55)+P54</f>
        <v>6.0317884397386541</v>
      </c>
      <c r="Q55" s="15">
        <f>('DOE Fuel Esc Rates'!Q273)/((1+DOEUPV_femp_disc)^$A55)+Q54</f>
        <v>5.9519027820907695</v>
      </c>
      <c r="R55" s="15">
        <f>('DOE Fuel Esc Rates'!R273)/((1+DOEUPV_femp_disc)^$A55)+R54</f>
        <v>5.752365821236741</v>
      </c>
      <c r="T55" s="33">
        <v>6</v>
      </c>
      <c r="U55" s="33"/>
    </row>
    <row r="56" spans="1:21" x14ac:dyDescent="0.2">
      <c r="A56" s="33">
        <v>7</v>
      </c>
      <c r="C56" s="15">
        <f>('DOE Fuel Esc Rates'!C274)/((1+DOEUPV_femp_disc)^$A56)+C55</f>
        <v>6.6939926605594255</v>
      </c>
      <c r="D56" s="15">
        <f>('DOE Fuel Esc Rates'!D274)/((1+DOEUPV_femp_disc)^$A56)+D55</f>
        <v>6.3190898457361193</v>
      </c>
      <c r="E56" s="15">
        <f>('DOE Fuel Esc Rates'!E274)/((1+DOEUPV_femp_disc)^$A56)+E55</f>
        <v>6.4600375316672194</v>
      </c>
      <c r="F56" s="15">
        <f>('DOE Fuel Esc Rates'!F274)/((1+DOEUPV_femp_disc)^$A56)+F55</f>
        <v>6.5035832635249893</v>
      </c>
      <c r="G56"/>
      <c r="H56" s="15">
        <f>('DOE Fuel Esc Rates'!H274)/((1+DOEUPV_femp_disc)^$A56)+H55</f>
        <v>6.5424975842328479</v>
      </c>
      <c r="I56" s="15">
        <f>('DOE Fuel Esc Rates'!I274)/((1+DOEUPV_femp_disc)^$A56)+I55</f>
        <v>6.4517055250883786</v>
      </c>
      <c r="J56" s="15">
        <f>('DOE Fuel Esc Rates'!J274)/((1+DOEUPV_femp_disc)^$A56)+J55</f>
        <v>6.8610849335630224</v>
      </c>
      <c r="K56" s="15">
        <f>('DOE Fuel Esc Rates'!K274)/((1+DOEUPV_femp_disc)^$A56)+K55</f>
        <v>6.4401662541591165</v>
      </c>
      <c r="L56" s="15">
        <f>('DOE Fuel Esc Rates'!L274)/((1+DOEUPV_femp_disc)^$A56)+L55</f>
        <v>6.4907091443550096</v>
      </c>
      <c r="N56" s="15">
        <f>('DOE Fuel Esc Rates'!N274)/((1+DOEUPV_femp_disc)^$A56)+N55</f>
        <v>6.411817044714657</v>
      </c>
      <c r="O56" s="15">
        <f>('DOE Fuel Esc Rates'!O274)/((1+DOEUPV_femp_disc)^$A56)+O55</f>
        <v>6.3446648008941429</v>
      </c>
      <c r="P56" s="15">
        <f>('DOE Fuel Esc Rates'!P274)/((1+DOEUPV_femp_disc)^$A56)+P55</f>
        <v>7.0270966742416237</v>
      </c>
      <c r="Q56" s="15">
        <f>('DOE Fuel Esc Rates'!Q274)/((1+DOEUPV_femp_disc)^$A56)+Q55</f>
        <v>6.987429679162064</v>
      </c>
      <c r="R56" s="15">
        <f>('DOE Fuel Esc Rates'!R274)/((1+DOEUPV_femp_disc)^$A56)+R55</f>
        <v>6.6607414940656442</v>
      </c>
      <c r="T56" s="33">
        <v>7</v>
      </c>
      <c r="U56" s="33"/>
    </row>
    <row r="57" spans="1:21" x14ac:dyDescent="0.2">
      <c r="A57" s="33">
        <v>8</v>
      </c>
      <c r="C57" s="15">
        <f>('DOE Fuel Esc Rates'!C275)/((1+DOEUPV_femp_disc)^$A57)+C56</f>
        <v>7.5798599684610002</v>
      </c>
      <c r="D57" s="15">
        <f>('DOE Fuel Esc Rates'!D275)/((1+DOEUPV_femp_disc)^$A57)+D56</f>
        <v>7.1735844139869149</v>
      </c>
      <c r="E57" s="15">
        <f>('DOE Fuel Esc Rates'!E275)/((1+DOEUPV_femp_disc)^$A57)+E56</f>
        <v>7.358724490565935</v>
      </c>
      <c r="F57" s="15">
        <f>('DOE Fuel Esc Rates'!F275)/((1+DOEUPV_femp_disc)^$A57)+F56</f>
        <v>7.3486559694892666</v>
      </c>
      <c r="G57"/>
      <c r="H57" s="15">
        <f>('DOE Fuel Esc Rates'!H275)/((1+DOEUPV_femp_disc)^$A57)+H56</f>
        <v>7.3990167278032271</v>
      </c>
      <c r="I57" s="15">
        <f>('DOE Fuel Esc Rates'!I275)/((1+DOEUPV_femp_disc)^$A57)+I56</f>
        <v>7.3305338692771969</v>
      </c>
      <c r="J57" s="15">
        <f>('DOE Fuel Esc Rates'!J275)/((1+DOEUPV_femp_disc)^$A57)+J56</f>
        <v>7.8264239876279991</v>
      </c>
      <c r="K57" s="15">
        <f>('DOE Fuel Esc Rates'!K275)/((1+DOEUPV_femp_disc)^$A57)+K56</f>
        <v>7.3329061783419753</v>
      </c>
      <c r="L57" s="15">
        <f>('DOE Fuel Esc Rates'!L275)/((1+DOEUPV_femp_disc)^$A57)+L56</f>
        <v>7.3414079154945613</v>
      </c>
      <c r="N57" s="15">
        <f>('DOE Fuel Esc Rates'!N275)/((1+DOEUPV_femp_disc)^$A57)+N56</f>
        <v>7.2576396967325625</v>
      </c>
      <c r="O57" s="15">
        <f>('DOE Fuel Esc Rates'!O275)/((1+DOEUPV_femp_disc)^$A57)+O56</f>
        <v>7.2071815122822578</v>
      </c>
      <c r="P57" s="15">
        <f>('DOE Fuel Esc Rates'!P275)/((1+DOEUPV_femp_disc)^$A57)+P56</f>
        <v>8.0217208589100792</v>
      </c>
      <c r="Q57" s="15">
        <f>('DOE Fuel Esc Rates'!Q275)/((1+DOEUPV_femp_disc)^$A57)+Q56</f>
        <v>8.0088464333575438</v>
      </c>
      <c r="R57" s="15">
        <f>('DOE Fuel Esc Rates'!R275)/((1+DOEUPV_femp_disc)^$A57)+R56</f>
        <v>7.5519105124903607</v>
      </c>
      <c r="T57" s="33">
        <v>8</v>
      </c>
      <c r="U57" s="33"/>
    </row>
    <row r="58" spans="1:21" x14ac:dyDescent="0.2">
      <c r="A58" s="33">
        <v>9</v>
      </c>
      <c r="C58" s="15">
        <f>('DOE Fuel Esc Rates'!C276)/((1+DOEUPV_femp_disc)^$A58)+C57</f>
        <v>8.4423548790667233</v>
      </c>
      <c r="D58" s="15">
        <f>('DOE Fuel Esc Rates'!D276)/((1+DOEUPV_femp_disc)^$A58)+D57</f>
        <v>8.0202481183058225</v>
      </c>
      <c r="E58" s="15">
        <f>('DOE Fuel Esc Rates'!E276)/((1+DOEUPV_femp_disc)^$A58)+E57</f>
        <v>8.2391536293739023</v>
      </c>
      <c r="F58" s="15">
        <f>('DOE Fuel Esc Rates'!F276)/((1+DOEUPV_femp_disc)^$A58)+F57</f>
        <v>8.173618424442477</v>
      </c>
      <c r="G58"/>
      <c r="H58" s="15">
        <f>('DOE Fuel Esc Rates'!H276)/((1+DOEUPV_femp_disc)^$A58)+H57</f>
        <v>8.230588711852139</v>
      </c>
      <c r="I58" s="15">
        <f>('DOE Fuel Esc Rates'!I276)/((1+DOEUPV_femp_disc)^$A58)+I57</f>
        <v>8.2005927844876521</v>
      </c>
      <c r="J58" s="15">
        <f>('DOE Fuel Esc Rates'!J276)/((1+DOEUPV_femp_disc)^$A58)+J57</f>
        <v>8.7908869265042249</v>
      </c>
      <c r="K58" s="15">
        <f>('DOE Fuel Esc Rates'!K276)/((1+DOEUPV_femp_disc)^$A58)+K57</f>
        <v>8.2068743153423149</v>
      </c>
      <c r="L58" s="15">
        <f>('DOE Fuel Esc Rates'!L276)/((1+DOEUPV_femp_disc)^$A58)+L57</f>
        <v>8.169709228710655</v>
      </c>
      <c r="N58" s="15">
        <f>('DOE Fuel Esc Rates'!N276)/((1+DOEUPV_femp_disc)^$A58)+N57</f>
        <v>8.0810322533031744</v>
      </c>
      <c r="O58" s="15">
        <f>('DOE Fuel Esc Rates'!O276)/((1+DOEUPV_femp_disc)^$A58)+O57</f>
        <v>8.061125683348429</v>
      </c>
      <c r="P58" s="15">
        <f>('DOE Fuel Esc Rates'!P276)/((1+DOEUPV_femp_disc)^$A58)+P57</f>
        <v>9.0156198484632686</v>
      </c>
      <c r="Q58" s="15">
        <f>('DOE Fuel Esc Rates'!Q276)/((1+DOEUPV_femp_disc)^$A58)+Q57</f>
        <v>9.0104298525201028</v>
      </c>
      <c r="R58" s="15">
        <f>('DOE Fuel Esc Rates'!R276)/((1+DOEUPV_femp_disc)^$A58)+R57</f>
        <v>8.4231107824590925</v>
      </c>
      <c r="T58" s="33">
        <v>9</v>
      </c>
      <c r="U58" s="33"/>
    </row>
    <row r="59" spans="1:21" x14ac:dyDescent="0.2">
      <c r="A59" s="33">
        <v>10</v>
      </c>
      <c r="C59" s="15">
        <f>('DOE Fuel Esc Rates'!C277)/((1+DOEUPV_femp_disc)^$A59)+C58</f>
        <v>9.2874482850056257</v>
      </c>
      <c r="D59" s="15">
        <f>('DOE Fuel Esc Rates'!D277)/((1+DOEUPV_femp_disc)^$A59)+D58</f>
        <v>8.8595649772940348</v>
      </c>
      <c r="E59" s="15">
        <f>('DOE Fuel Esc Rates'!E277)/((1+DOEUPV_femp_disc)^$A59)+E58</f>
        <v>9.1039321978230916</v>
      </c>
      <c r="F59" s="15">
        <f>('DOE Fuel Esc Rates'!F277)/((1+DOEUPV_femp_disc)^$A59)+F58</f>
        <v>8.9785277073836465</v>
      </c>
      <c r="G59"/>
      <c r="H59" s="15">
        <f>('DOE Fuel Esc Rates'!H277)/((1+DOEUPV_femp_disc)^$A59)+H58</f>
        <v>9.0450293581681951</v>
      </c>
      <c r="I59" s="15">
        <f>('DOE Fuel Esc Rates'!I277)/((1+DOEUPV_femp_disc)^$A59)+I58</f>
        <v>9.0623901779384006</v>
      </c>
      <c r="J59" s="15">
        <f>('DOE Fuel Esc Rates'!J277)/((1+DOEUPV_femp_disc)^$A59)+J58</f>
        <v>9.7544206414713575</v>
      </c>
      <c r="K59" s="15">
        <f>('DOE Fuel Esc Rates'!K277)/((1+DOEUPV_femp_disc)^$A59)+K58</f>
        <v>9.0650392313434907</v>
      </c>
      <c r="L59" s="15">
        <f>('DOE Fuel Esc Rates'!L277)/((1+DOEUPV_femp_disc)^$A59)+L58</f>
        <v>8.9785069622940519</v>
      </c>
      <c r="N59" s="15">
        <f>('DOE Fuel Esc Rates'!N277)/((1+DOEUPV_femp_disc)^$A59)+N58</f>
        <v>8.8893644917881058</v>
      </c>
      <c r="O59" s="15">
        <f>('DOE Fuel Esc Rates'!O277)/((1+DOEUPV_femp_disc)^$A59)+O58</f>
        <v>8.9069790827679789</v>
      </c>
      <c r="P59" s="15">
        <f>('DOE Fuel Esc Rates'!P277)/((1+DOEUPV_femp_disc)^$A59)+P58</f>
        <v>10.007992111458005</v>
      </c>
      <c r="Q59" s="15">
        <f>('DOE Fuel Esc Rates'!Q277)/((1+DOEUPV_femp_disc)^$A59)+Q58</f>
        <v>9.9938441762745551</v>
      </c>
      <c r="R59" s="15">
        <f>('DOE Fuel Esc Rates'!R277)/((1+DOEUPV_femp_disc)^$A59)+R58</f>
        <v>9.274749520993236</v>
      </c>
      <c r="T59" s="33">
        <v>10</v>
      </c>
      <c r="U59" s="33"/>
    </row>
    <row r="60" spans="1:21" x14ac:dyDescent="0.2">
      <c r="A60" s="33">
        <v>11</v>
      </c>
      <c r="C60" s="15">
        <f>('DOE Fuel Esc Rates'!C278)/((1+DOEUPV_femp_disc)^$A60)+C59</f>
        <v>10.113132084138389</v>
      </c>
      <c r="D60" s="15">
        <f>('DOE Fuel Esc Rates'!D278)/((1+DOEUPV_femp_disc)^$A60)+D59</f>
        <v>9.6923409456140046</v>
      </c>
      <c r="E60" s="15">
        <f>('DOE Fuel Esc Rates'!E278)/((1+DOEUPV_femp_disc)^$A60)+E59</f>
        <v>9.958449100411503</v>
      </c>
      <c r="F60" s="15">
        <f>('DOE Fuel Esc Rates'!F278)/((1+DOEUPV_femp_disc)^$A60)+F59</f>
        <v>9.7653957538499263</v>
      </c>
      <c r="G60"/>
      <c r="H60" s="15">
        <f>('DOE Fuel Esc Rates'!H278)/((1+DOEUPV_femp_disc)^$A60)+H59</f>
        <v>9.8391897941507125</v>
      </c>
      <c r="I60" s="15">
        <f>('DOE Fuel Esc Rates'!I278)/((1+DOEUPV_femp_disc)^$A60)+I59</f>
        <v>9.9167506697243617</v>
      </c>
      <c r="J60" s="15">
        <f>('DOE Fuel Esc Rates'!J278)/((1+DOEUPV_femp_disc)^$A60)+J59</f>
        <v>10.717649010269707</v>
      </c>
      <c r="K60" s="15">
        <f>('DOE Fuel Esc Rates'!K278)/((1+DOEUPV_femp_disc)^$A60)+K59</f>
        <v>9.9126915547111416</v>
      </c>
      <c r="L60" s="15">
        <f>('DOE Fuel Esc Rates'!L278)/((1+DOEUPV_femp_disc)^$A60)+L59</f>
        <v>9.768234569010712</v>
      </c>
      <c r="N60" s="15">
        <f>('DOE Fuel Esc Rates'!N278)/((1+DOEUPV_femp_disc)^$A60)+N59</f>
        <v>9.6803898032868947</v>
      </c>
      <c r="O60" s="15">
        <f>('DOE Fuel Esc Rates'!O278)/((1+DOEUPV_femp_disc)^$A60)+O59</f>
        <v>9.7451818883417829</v>
      </c>
      <c r="P60" s="15">
        <f>('DOE Fuel Esc Rates'!P278)/((1+DOEUPV_femp_disc)^$A60)+P59</f>
        <v>11.00024205212503</v>
      </c>
      <c r="Q60" s="15">
        <f>('DOE Fuel Esc Rates'!Q278)/((1+DOEUPV_femp_disc)^$A60)+Q59</f>
        <v>10.969980873490258</v>
      </c>
      <c r="R60" s="15">
        <f>('DOE Fuel Esc Rates'!R278)/((1+DOEUPV_femp_disc)^$A60)+R59</f>
        <v>10.107227163948842</v>
      </c>
      <c r="T60" s="33">
        <v>11</v>
      </c>
      <c r="U60" s="33"/>
    </row>
    <row r="61" spans="1:21" x14ac:dyDescent="0.2">
      <c r="A61" s="33">
        <v>12</v>
      </c>
      <c r="C61" s="15">
        <f>('DOE Fuel Esc Rates'!C279)/((1+DOEUPV_femp_disc)^$A61)+C60</f>
        <v>10.91880937591049</v>
      </c>
      <c r="D61" s="15">
        <f>('DOE Fuel Esc Rates'!D279)/((1+DOEUPV_femp_disc)^$A61)+D60</f>
        <v>10.519664102219981</v>
      </c>
      <c r="E61" s="15">
        <f>('DOE Fuel Esc Rates'!E279)/((1+DOEUPV_femp_disc)^$A61)+E60</f>
        <v>10.793149123120495</v>
      </c>
      <c r="F61" s="15">
        <f>('DOE Fuel Esc Rates'!F279)/((1+DOEUPV_femp_disc)^$A61)+F60</f>
        <v>10.533841338398958</v>
      </c>
      <c r="G61"/>
      <c r="H61" s="15">
        <f>('DOE Fuel Esc Rates'!H279)/((1+DOEUPV_femp_disc)^$A61)+H60</f>
        <v>10.613046451996459</v>
      </c>
      <c r="I61" s="15">
        <f>('DOE Fuel Esc Rates'!I279)/((1+DOEUPV_femp_disc)^$A61)+I60</f>
        <v>10.764776343231135</v>
      </c>
      <c r="J61" s="15">
        <f>('DOE Fuel Esc Rates'!J279)/((1+DOEUPV_femp_disc)^$A61)+J60</f>
        <v>11.680446175299254</v>
      </c>
      <c r="K61" s="15">
        <f>('DOE Fuel Esc Rates'!K279)/((1+DOEUPV_femp_disc)^$A61)+K60</f>
        <v>10.738963371117721</v>
      </c>
      <c r="L61" s="15">
        <f>('DOE Fuel Esc Rates'!L279)/((1+DOEUPV_femp_disc)^$A61)+L60</f>
        <v>10.539316797545844</v>
      </c>
      <c r="N61" s="15">
        <f>('DOE Fuel Esc Rates'!N279)/((1+DOEUPV_femp_disc)^$A61)+N60</f>
        <v>10.453085047796851</v>
      </c>
      <c r="O61" s="15">
        <f>('DOE Fuel Esc Rates'!O279)/((1+DOEUPV_femp_disc)^$A61)+O60</f>
        <v>10.576471861507159</v>
      </c>
      <c r="P61" s="15">
        <f>('DOE Fuel Esc Rates'!P279)/((1+DOEUPV_femp_disc)^$A61)+P60</f>
        <v>11.99223351614298</v>
      </c>
      <c r="Q61" s="15">
        <f>('DOE Fuel Esc Rates'!Q279)/((1+DOEUPV_femp_disc)^$A61)+Q60</f>
        <v>11.920279306358001</v>
      </c>
      <c r="R61" s="15">
        <f>('DOE Fuel Esc Rates'!R279)/((1+DOEUPV_femp_disc)^$A61)+R60</f>
        <v>10.923677180735975</v>
      </c>
      <c r="T61" s="33">
        <v>12</v>
      </c>
      <c r="U61" s="33"/>
    </row>
    <row r="62" spans="1:21" x14ac:dyDescent="0.2">
      <c r="A62" s="33">
        <v>13</v>
      </c>
      <c r="C62" s="15">
        <f>('DOE Fuel Esc Rates'!C280)/((1+DOEUPV_femp_disc)^$A62)+C61</f>
        <v>11.704748890801751</v>
      </c>
      <c r="D62" s="15">
        <f>('DOE Fuel Esc Rates'!D280)/((1+DOEUPV_femp_disc)^$A62)+D61</f>
        <v>11.341490049222369</v>
      </c>
      <c r="E62" s="15">
        <f>('DOE Fuel Esc Rates'!E280)/((1+DOEUPV_femp_disc)^$A62)+E61</f>
        <v>11.599316721914072</v>
      </c>
      <c r="F62" s="15">
        <f>('DOE Fuel Esc Rates'!F280)/((1+DOEUPV_femp_disc)^$A62)+F61</f>
        <v>11.283542573295293</v>
      </c>
      <c r="G62"/>
      <c r="H62" s="15">
        <f>('DOE Fuel Esc Rates'!H280)/((1+DOEUPV_femp_disc)^$A62)+H61</f>
        <v>11.369104553930988</v>
      </c>
      <c r="I62" s="15">
        <f>('DOE Fuel Esc Rates'!I280)/((1+DOEUPV_femp_disc)^$A62)+I61</f>
        <v>11.605771635887381</v>
      </c>
      <c r="J62" s="15">
        <f>('DOE Fuel Esc Rates'!J280)/((1+DOEUPV_femp_disc)^$A62)+J61</f>
        <v>12.64202011361815</v>
      </c>
      <c r="K62" s="15">
        <f>('DOE Fuel Esc Rates'!K280)/((1+DOEUPV_femp_disc)^$A62)+K61</f>
        <v>11.534744948869182</v>
      </c>
      <c r="L62" s="15">
        <f>('DOE Fuel Esc Rates'!L280)/((1+DOEUPV_femp_disc)^$A62)+L61</f>
        <v>11.292169831824015</v>
      </c>
      <c r="N62" s="15">
        <f>('DOE Fuel Esc Rates'!N280)/((1+DOEUPV_femp_disc)^$A62)+N61</f>
        <v>11.20752034534325</v>
      </c>
      <c r="O62" s="15">
        <f>('DOE Fuel Esc Rates'!O280)/((1+DOEUPV_femp_disc)^$A62)+O61</f>
        <v>11.399887109483554</v>
      </c>
      <c r="P62" s="15">
        <f>('DOE Fuel Esc Rates'!P280)/((1+DOEUPV_femp_disc)^$A62)+P61</f>
        <v>12.983139798742615</v>
      </c>
      <c r="Q62" s="15">
        <f>('DOE Fuel Esc Rates'!Q280)/((1+DOEUPV_femp_disc)^$A62)+Q61</f>
        <v>12.831570933261995</v>
      </c>
      <c r="R62" s="15">
        <f>('DOE Fuel Esc Rates'!R280)/((1+DOEUPV_femp_disc)^$A62)+R61</f>
        <v>11.721667032290481</v>
      </c>
      <c r="T62" s="33">
        <v>13</v>
      </c>
      <c r="U62" s="33"/>
    </row>
    <row r="63" spans="1:21" x14ac:dyDescent="0.2">
      <c r="A63" s="33">
        <v>14</v>
      </c>
      <c r="C63" s="15">
        <f>('DOE Fuel Esc Rates'!C281)/((1+DOEUPV_femp_disc)^$A63)+C62</f>
        <v>12.468368535101758</v>
      </c>
      <c r="D63" s="15">
        <f>('DOE Fuel Esc Rates'!D281)/((1+DOEUPV_femp_disc)^$A63)+D62</f>
        <v>12.158105973253258</v>
      </c>
      <c r="E63" s="15">
        <f>('DOE Fuel Esc Rates'!E281)/((1+DOEUPV_femp_disc)^$A63)+E62</f>
        <v>12.380637765154258</v>
      </c>
      <c r="F63" s="15">
        <f>('DOE Fuel Esc Rates'!F281)/((1+DOEUPV_femp_disc)^$A63)+F62</f>
        <v>12.015998945767416</v>
      </c>
      <c r="G63"/>
      <c r="H63" s="15">
        <f>('DOE Fuel Esc Rates'!H281)/((1+DOEUPV_femp_disc)^$A63)+H62</f>
        <v>12.103141546100433</v>
      </c>
      <c r="I63" s="15">
        <f>('DOE Fuel Esc Rates'!I281)/((1+DOEUPV_femp_disc)^$A63)+I62</f>
        <v>12.439756572568752</v>
      </c>
      <c r="J63" s="15">
        <f>('DOE Fuel Esc Rates'!J281)/((1+DOEUPV_femp_disc)^$A63)+J62</f>
        <v>13.602895464438102</v>
      </c>
      <c r="K63" s="15">
        <f>('DOE Fuel Esc Rates'!K281)/((1+DOEUPV_femp_disc)^$A63)+K62</f>
        <v>12.304229942198164</v>
      </c>
      <c r="L63" s="15">
        <f>('DOE Fuel Esc Rates'!L281)/((1+DOEUPV_femp_disc)^$A63)+L62</f>
        <v>12.027201429597511</v>
      </c>
      <c r="N63" s="15">
        <f>('DOE Fuel Esc Rates'!N281)/((1+DOEUPV_femp_disc)^$A63)+N62</f>
        <v>11.939981799271791</v>
      </c>
      <c r="O63" s="15">
        <f>('DOE Fuel Esc Rates'!O281)/((1+DOEUPV_femp_disc)^$A63)+O62</f>
        <v>12.215498375683012</v>
      </c>
      <c r="P63" s="15">
        <f>('DOE Fuel Esc Rates'!P281)/((1+DOEUPV_femp_disc)^$A63)+P62</f>
        <v>13.972841055859531</v>
      </c>
      <c r="Q63" s="15">
        <f>('DOE Fuel Esc Rates'!Q281)/((1+DOEUPV_femp_disc)^$A63)+Q62</f>
        <v>13.710209939516314</v>
      </c>
      <c r="R63" s="15">
        <f>('DOE Fuel Esc Rates'!R281)/((1+DOEUPV_femp_disc)^$A63)+R62</f>
        <v>12.504161935271114</v>
      </c>
      <c r="T63" s="33">
        <v>14</v>
      </c>
      <c r="U63" s="33"/>
    </row>
    <row r="64" spans="1:21" x14ac:dyDescent="0.2">
      <c r="A64" s="33">
        <v>15</v>
      </c>
      <c r="C64" s="15">
        <f>('DOE Fuel Esc Rates'!C282)/((1+DOEUPV_femp_disc)^$A64)+C63</f>
        <v>13.210301754412489</v>
      </c>
      <c r="D64" s="15">
        <f>('DOE Fuel Esc Rates'!D282)/((1+DOEUPV_femp_disc)^$A64)+D63</f>
        <v>12.969442850615119</v>
      </c>
      <c r="E64" s="15">
        <f>('DOE Fuel Esc Rates'!E282)/((1+DOEUPV_femp_disc)^$A64)+E63</f>
        <v>13.141854206901606</v>
      </c>
      <c r="F64" s="15">
        <f>('DOE Fuel Esc Rates'!F282)/((1+DOEUPV_femp_disc)^$A64)+F63</f>
        <v>12.731236137150724</v>
      </c>
      <c r="G64"/>
      <c r="H64" s="15">
        <f>('DOE Fuel Esc Rates'!H282)/((1+DOEUPV_femp_disc)^$A64)+H63</f>
        <v>12.815328419210459</v>
      </c>
      <c r="I64" s="15">
        <f>('DOE Fuel Esc Rates'!I282)/((1+DOEUPV_femp_disc)^$A64)+I63</f>
        <v>13.266746367068915</v>
      </c>
      <c r="J64" s="15">
        <f>('DOE Fuel Esc Rates'!J282)/((1+DOEUPV_femp_disc)^$A64)+J63</f>
        <v>14.563530348246061</v>
      </c>
      <c r="K64" s="15">
        <f>('DOE Fuel Esc Rates'!K282)/((1+DOEUPV_femp_disc)^$A64)+K63</f>
        <v>13.052059663929246</v>
      </c>
      <c r="L64" s="15">
        <f>('DOE Fuel Esc Rates'!L282)/((1+DOEUPV_femp_disc)^$A64)+L63</f>
        <v>12.744811060227383</v>
      </c>
      <c r="N64" s="15">
        <f>('DOE Fuel Esc Rates'!N282)/((1+DOEUPV_femp_disc)^$A64)+N63</f>
        <v>12.651109424445133</v>
      </c>
      <c r="O64" s="15">
        <f>('DOE Fuel Esc Rates'!O282)/((1+DOEUPV_femp_disc)^$A64)+O63</f>
        <v>13.023677718278496</v>
      </c>
      <c r="P64" s="15">
        <f>('DOE Fuel Esc Rates'!P282)/((1+DOEUPV_femp_disc)^$A64)+P63</f>
        <v>14.962484775550884</v>
      </c>
      <c r="Q64" s="15">
        <f>('DOE Fuel Esc Rates'!Q282)/((1+DOEUPV_femp_disc)^$A64)+Q63</f>
        <v>14.563257518404004</v>
      </c>
      <c r="R64" s="15">
        <f>('DOE Fuel Esc Rates'!R282)/((1+DOEUPV_femp_disc)^$A64)+R63</f>
        <v>13.268880271036736</v>
      </c>
      <c r="T64" s="33">
        <v>15</v>
      </c>
      <c r="U64" s="33"/>
    </row>
    <row r="65" spans="1:21" x14ac:dyDescent="0.2">
      <c r="A65" s="33">
        <v>16</v>
      </c>
      <c r="C65" s="15">
        <f>('DOE Fuel Esc Rates'!C283)/((1+DOEUPV_femp_disc)^$A65)+C64</f>
        <v>13.932421138448246</v>
      </c>
      <c r="D65" s="15">
        <f>('DOE Fuel Esc Rates'!D283)/((1+DOEUPV_femp_disc)^$A65)+D64</f>
        <v>13.7760610587407</v>
      </c>
      <c r="E65" s="15">
        <f>('DOE Fuel Esc Rates'!E283)/((1+DOEUPV_femp_disc)^$A65)+E64</f>
        <v>13.890555808464615</v>
      </c>
      <c r="F65" s="15">
        <f>('DOE Fuel Esc Rates'!F283)/((1+DOEUPV_femp_disc)^$A65)+F64</f>
        <v>13.430634502162187</v>
      </c>
      <c r="G65"/>
      <c r="H65" s="15">
        <f>('DOE Fuel Esc Rates'!H283)/((1+DOEUPV_femp_disc)^$A65)+H64</f>
        <v>13.507913734950513</v>
      </c>
      <c r="I65" s="15">
        <f>('DOE Fuel Esc Rates'!I283)/((1+DOEUPV_femp_disc)^$A65)+I64</f>
        <v>14.08737388832734</v>
      </c>
      <c r="J65" s="15">
        <f>('DOE Fuel Esc Rates'!J283)/((1+DOEUPV_femp_disc)^$A65)+J64</f>
        <v>15.524320874132981</v>
      </c>
      <c r="K65" s="15">
        <f>('DOE Fuel Esc Rates'!K283)/((1+DOEUPV_femp_disc)^$A65)+K64</f>
        <v>13.78766120421148</v>
      </c>
      <c r="L65" s="15">
        <f>('DOE Fuel Esc Rates'!L283)/((1+DOEUPV_femp_disc)^$A65)+L64</f>
        <v>13.445390041586641</v>
      </c>
      <c r="N65" s="15">
        <f>('DOE Fuel Esc Rates'!N283)/((1+DOEUPV_femp_disc)^$A65)+N64</f>
        <v>13.342720118620358</v>
      </c>
      <c r="O65" s="15">
        <f>('DOE Fuel Esc Rates'!O283)/((1+DOEUPV_femp_disc)^$A65)+O64</f>
        <v>13.825063225528931</v>
      </c>
      <c r="P65" s="15">
        <f>('DOE Fuel Esc Rates'!P283)/((1+DOEUPV_femp_disc)^$A65)+P64</f>
        <v>15.953096762597998</v>
      </c>
      <c r="Q65" s="15">
        <f>('DOE Fuel Esc Rates'!Q283)/((1+DOEUPV_femp_disc)^$A65)+Q64</f>
        <v>15.402977848702458</v>
      </c>
      <c r="R65" s="15">
        <f>('DOE Fuel Esc Rates'!R283)/((1+DOEUPV_femp_disc)^$A65)+R64</f>
        <v>14.016193748929608</v>
      </c>
      <c r="T65" s="33">
        <v>16</v>
      </c>
      <c r="U65" s="33"/>
    </row>
    <row r="66" spans="1:21" x14ac:dyDescent="0.2">
      <c r="A66" s="33">
        <v>17</v>
      </c>
      <c r="C66" s="15">
        <f>('DOE Fuel Esc Rates'!C284)/((1+DOEUPV_femp_disc)^$A66)+C65</f>
        <v>14.636297620256702</v>
      </c>
      <c r="D66" s="15">
        <f>('DOE Fuel Esc Rates'!D284)/((1+DOEUPV_femp_disc)^$A66)+D65</f>
        <v>14.576935129947461</v>
      </c>
      <c r="E66" s="15">
        <f>('DOE Fuel Esc Rates'!E284)/((1+DOEUPV_femp_disc)^$A66)+E65</f>
        <v>14.630575924043344</v>
      </c>
      <c r="F66" s="15">
        <f>('DOE Fuel Esc Rates'!F284)/((1+DOEUPV_femp_disc)^$A66)+F65</f>
        <v>14.115802699379556</v>
      </c>
      <c r="G66"/>
      <c r="H66" s="15">
        <f>('DOE Fuel Esc Rates'!H284)/((1+DOEUPV_femp_disc)^$A66)+H65</f>
        <v>14.182765351349005</v>
      </c>
      <c r="I66" s="15">
        <f>('DOE Fuel Esc Rates'!I284)/((1+DOEUPV_femp_disc)^$A66)+I65</f>
        <v>14.901610093139389</v>
      </c>
      <c r="J66" s="15">
        <f>('DOE Fuel Esc Rates'!J284)/((1+DOEUPV_femp_disc)^$A66)+J65</f>
        <v>16.485024221857675</v>
      </c>
      <c r="K66" s="15">
        <f>('DOE Fuel Esc Rates'!K284)/((1+DOEUPV_femp_disc)^$A66)+K65</f>
        <v>14.513966324341169</v>
      </c>
      <c r="L66" s="15">
        <f>('DOE Fuel Esc Rates'!L284)/((1+DOEUPV_femp_disc)^$A66)+L65</f>
        <v>14.129321676019861</v>
      </c>
      <c r="N66" s="15">
        <f>('DOE Fuel Esc Rates'!N284)/((1+DOEUPV_femp_disc)^$A66)+N65</f>
        <v>14.017668921035195</v>
      </c>
      <c r="O66" s="15">
        <f>('DOE Fuel Esc Rates'!O284)/((1+DOEUPV_femp_disc)^$A66)+O65</f>
        <v>14.619365046945099</v>
      </c>
      <c r="P66" s="15">
        <f>('DOE Fuel Esc Rates'!P284)/((1+DOEUPV_femp_disc)^$A66)+P65</f>
        <v>16.943781062367723</v>
      </c>
      <c r="Q66" s="15">
        <f>('DOE Fuel Esc Rates'!Q284)/((1+DOEUPV_femp_disc)^$A66)+Q65</f>
        <v>16.237251912658465</v>
      </c>
      <c r="R66" s="15">
        <f>('DOE Fuel Esc Rates'!R284)/((1+DOEUPV_femp_disc)^$A66)+R65</f>
        <v>14.74646750582818</v>
      </c>
      <c r="T66" s="33">
        <v>17</v>
      </c>
      <c r="U66" s="33"/>
    </row>
    <row r="67" spans="1:21" x14ac:dyDescent="0.2">
      <c r="A67" s="33">
        <v>18</v>
      </c>
      <c r="C67" s="15">
        <f>('DOE Fuel Esc Rates'!C285)/((1+DOEUPV_femp_disc)^$A67)+C66</f>
        <v>15.323058405011531</v>
      </c>
      <c r="D67" s="15">
        <f>('DOE Fuel Esc Rates'!D285)/((1+DOEUPV_femp_disc)^$A67)+D66</f>
        <v>15.372903847096689</v>
      </c>
      <c r="E67" s="15">
        <f>('DOE Fuel Esc Rates'!E285)/((1+DOEUPV_femp_disc)^$A67)+E66</f>
        <v>15.36057149528548</v>
      </c>
      <c r="F67" s="15">
        <f>('DOE Fuel Esc Rates'!F285)/((1+DOEUPV_femp_disc)^$A67)+F66</f>
        <v>14.786348787240664</v>
      </c>
      <c r="G67"/>
      <c r="H67" s="15">
        <f>('DOE Fuel Esc Rates'!H285)/((1+DOEUPV_femp_disc)^$A67)+H66</f>
        <v>14.841404962673968</v>
      </c>
      <c r="I67" s="15">
        <f>('DOE Fuel Esc Rates'!I285)/((1+DOEUPV_femp_disc)^$A67)+I66</f>
        <v>15.710596678479181</v>
      </c>
      <c r="J67" s="15">
        <f>('DOE Fuel Esc Rates'!J285)/((1+DOEUPV_femp_disc)^$A67)+J66</f>
        <v>17.443701876363018</v>
      </c>
      <c r="K67" s="15">
        <f>('DOE Fuel Esc Rates'!K285)/((1+DOEUPV_femp_disc)^$A67)+K66</f>
        <v>15.230892525853967</v>
      </c>
      <c r="L67" s="15">
        <f>('DOE Fuel Esc Rates'!L285)/((1+DOEUPV_femp_disc)^$A67)+L66</f>
        <v>14.796981385297997</v>
      </c>
      <c r="N67" s="15">
        <f>('DOE Fuel Esc Rates'!N285)/((1+DOEUPV_femp_disc)^$A67)+N66</f>
        <v>14.677748329018385</v>
      </c>
      <c r="O67" s="15">
        <f>('DOE Fuel Esc Rates'!O285)/((1+DOEUPV_femp_disc)^$A67)+O66</f>
        <v>15.408288994506506</v>
      </c>
      <c r="P67" s="15">
        <f>('DOE Fuel Esc Rates'!P285)/((1+DOEUPV_femp_disc)^$A67)+P66</f>
        <v>17.932522981562464</v>
      </c>
      <c r="Q67" s="15">
        <f>('DOE Fuel Esc Rates'!Q285)/((1+DOEUPV_femp_disc)^$A67)+Q66</f>
        <v>17.062427331860636</v>
      </c>
      <c r="R67" s="15">
        <f>('DOE Fuel Esc Rates'!R285)/((1+DOEUPV_femp_disc)^$A67)+R66</f>
        <v>15.462354683860525</v>
      </c>
      <c r="T67" s="33">
        <v>18</v>
      </c>
      <c r="U67" s="33"/>
    </row>
    <row r="68" spans="1:21" x14ac:dyDescent="0.2">
      <c r="A68" s="33">
        <v>19</v>
      </c>
      <c r="C68" s="15">
        <f>('DOE Fuel Esc Rates'!C286)/((1+DOEUPV_femp_disc)^$A68)+C67</f>
        <v>15.992939052067845</v>
      </c>
      <c r="D68" s="15">
        <f>('DOE Fuel Esc Rates'!D286)/((1+DOEUPV_femp_disc)^$A68)+D67</f>
        <v>16.163862008714442</v>
      </c>
      <c r="E68" s="15">
        <f>('DOE Fuel Esc Rates'!E286)/((1+DOEUPV_femp_disc)^$A68)+E67</f>
        <v>16.08049869028979</v>
      </c>
      <c r="F68" s="15">
        <f>('DOE Fuel Esc Rates'!F286)/((1+DOEUPV_femp_disc)^$A68)+F67</f>
        <v>15.442238646068695</v>
      </c>
      <c r="G68"/>
      <c r="H68" s="15">
        <f>('DOE Fuel Esc Rates'!H286)/((1+DOEUPV_femp_disc)^$A68)+H67</f>
        <v>15.483995483907632</v>
      </c>
      <c r="I68" s="15">
        <f>('DOE Fuel Esc Rates'!I286)/((1+DOEUPV_femp_disc)^$A68)+I67</f>
        <v>16.513948701278615</v>
      </c>
      <c r="J68" s="15">
        <f>('DOE Fuel Esc Rates'!J286)/((1+DOEUPV_femp_disc)^$A68)+J67</f>
        <v>18.402943790818043</v>
      </c>
      <c r="K68" s="15">
        <f>('DOE Fuel Esc Rates'!K286)/((1+DOEUPV_femp_disc)^$A68)+K67</f>
        <v>15.937697495405068</v>
      </c>
      <c r="L68" s="15">
        <f>('DOE Fuel Esc Rates'!L286)/((1+DOEUPV_femp_disc)^$A68)+L67</f>
        <v>15.448736844511625</v>
      </c>
      <c r="N68" s="15">
        <f>('DOE Fuel Esc Rates'!N286)/((1+DOEUPV_femp_disc)^$A68)+N67</f>
        <v>15.32270490034813</v>
      </c>
      <c r="O68" s="15">
        <f>('DOE Fuel Esc Rates'!O286)/((1+DOEUPV_femp_disc)^$A68)+O67</f>
        <v>16.191748157060509</v>
      </c>
      <c r="P68" s="15">
        <f>('DOE Fuel Esc Rates'!P286)/((1+DOEUPV_femp_disc)^$A68)+P67</f>
        <v>18.921435304948481</v>
      </c>
      <c r="Q68" s="15">
        <f>('DOE Fuel Esc Rates'!Q286)/((1+DOEUPV_femp_disc)^$A68)+Q67</f>
        <v>17.87832637946217</v>
      </c>
      <c r="R68" s="15">
        <f>('DOE Fuel Esc Rates'!R286)/((1+DOEUPV_femp_disc)^$A68)+R67</f>
        <v>16.161846138622028</v>
      </c>
      <c r="T68" s="33">
        <v>19</v>
      </c>
      <c r="U68" s="33"/>
    </row>
    <row r="69" spans="1:21" x14ac:dyDescent="0.2">
      <c r="A69" s="33">
        <v>20</v>
      </c>
      <c r="C69" s="15">
        <f>('DOE Fuel Esc Rates'!C287)/((1+DOEUPV_femp_disc)^$A69)+C68</f>
        <v>16.645702023357842</v>
      </c>
      <c r="D69" s="15">
        <f>('DOE Fuel Esc Rates'!D287)/((1+DOEUPV_femp_disc)^$A69)+D68</f>
        <v>16.94970630120147</v>
      </c>
      <c r="E69" s="15">
        <f>('DOE Fuel Esc Rates'!E287)/((1+DOEUPV_femp_disc)^$A69)+E68</f>
        <v>16.79032473465471</v>
      </c>
      <c r="F69" s="15">
        <f>('DOE Fuel Esc Rates'!F287)/((1+DOEUPV_femp_disc)^$A69)+F68</f>
        <v>16.083757188178822</v>
      </c>
      <c r="G69"/>
      <c r="H69" s="15">
        <f>('DOE Fuel Esc Rates'!H287)/((1+DOEUPV_femp_disc)^$A69)+H68</f>
        <v>16.110101521803944</v>
      </c>
      <c r="I69" s="15">
        <f>('DOE Fuel Esc Rates'!I287)/((1+DOEUPV_femp_disc)^$A69)+I68</f>
        <v>17.311860666393454</v>
      </c>
      <c r="J69" s="15">
        <f>('DOE Fuel Esc Rates'!J287)/((1+DOEUPV_femp_disc)^$A69)+J68</f>
        <v>19.36190381463933</v>
      </c>
      <c r="K69" s="15">
        <f>('DOE Fuel Esc Rates'!K287)/((1+DOEUPV_femp_disc)^$A69)+K68</f>
        <v>16.63436262478811</v>
      </c>
      <c r="L69" s="15">
        <f>('DOE Fuel Esc Rates'!L287)/((1+DOEUPV_femp_disc)^$A69)+L68</f>
        <v>16.086667604769794</v>
      </c>
      <c r="N69" s="15">
        <f>('DOE Fuel Esc Rates'!N287)/((1+DOEUPV_femp_disc)^$A69)+N68</f>
        <v>15.952594055710234</v>
      </c>
      <c r="O69" s="15">
        <f>('DOE Fuel Esc Rates'!O287)/((1+DOEUPV_femp_disc)^$A69)+O68</f>
        <v>16.969657278105416</v>
      </c>
      <c r="P69" s="15">
        <f>('DOE Fuel Esc Rates'!P287)/((1+DOEUPV_femp_disc)^$A69)+P68</f>
        <v>19.91022079026332</v>
      </c>
      <c r="Q69" s="15">
        <f>('DOE Fuel Esc Rates'!Q287)/((1+DOEUPV_femp_disc)^$A69)+Q68</f>
        <v>18.685812830576808</v>
      </c>
      <c r="R69" s="15">
        <f>('DOE Fuel Esc Rates'!R287)/((1+DOEUPV_femp_disc)^$A69)+R68</f>
        <v>16.845289647695786</v>
      </c>
      <c r="T69" s="33">
        <v>20</v>
      </c>
      <c r="U69" s="33"/>
    </row>
    <row r="70" spans="1:21" x14ac:dyDescent="0.2">
      <c r="A70" s="33">
        <v>21</v>
      </c>
      <c r="C70" s="15">
        <f>('DOE Fuel Esc Rates'!C288)/((1+DOEUPV_femp_disc)^$A70)+C69</f>
        <v>17.280536874272926</v>
      </c>
      <c r="D70" s="15">
        <f>('DOE Fuel Esc Rates'!D288)/((1+DOEUPV_femp_disc)^$A70)+D69</f>
        <v>17.730335522817516</v>
      </c>
      <c r="E70" s="15">
        <f>('DOE Fuel Esc Rates'!E288)/((1+DOEUPV_femp_disc)^$A70)+E69</f>
        <v>17.489471985036435</v>
      </c>
      <c r="F70" s="15">
        <f>('DOE Fuel Esc Rates'!F288)/((1+DOEUPV_femp_disc)^$A70)+F69</f>
        <v>16.711472314854682</v>
      </c>
      <c r="G70"/>
      <c r="H70" s="15">
        <f>('DOE Fuel Esc Rates'!H288)/((1+DOEUPV_femp_disc)^$A70)+H69</f>
        <v>16.718759368106255</v>
      </c>
      <c r="I70" s="15">
        <f>('DOE Fuel Esc Rates'!I288)/((1+DOEUPV_femp_disc)^$A70)+I69</f>
        <v>18.103967957690593</v>
      </c>
      <c r="J70" s="15">
        <f>('DOE Fuel Esc Rates'!J288)/((1+DOEUPV_femp_disc)^$A70)+J69</f>
        <v>20.320300986673164</v>
      </c>
      <c r="K70" s="15">
        <f>('DOE Fuel Esc Rates'!K288)/((1+DOEUPV_femp_disc)^$A70)+K69</f>
        <v>17.320245073530572</v>
      </c>
      <c r="L70" s="15">
        <f>('DOE Fuel Esc Rates'!L288)/((1+DOEUPV_femp_disc)^$A70)+L69</f>
        <v>16.709356672825944</v>
      </c>
      <c r="N70" s="15">
        <f>('DOE Fuel Esc Rates'!N288)/((1+DOEUPV_femp_disc)^$A70)+N69</f>
        <v>16.566457281580487</v>
      </c>
      <c r="O70" s="15">
        <f>('DOE Fuel Esc Rates'!O288)/((1+DOEUPV_femp_disc)^$A70)+O69</f>
        <v>17.741932965279954</v>
      </c>
      <c r="P70" s="15">
        <f>('DOE Fuel Esc Rates'!P288)/((1+DOEUPV_femp_disc)^$A70)+P69</f>
        <v>20.898583303538352</v>
      </c>
      <c r="Q70" s="15">
        <f>('DOE Fuel Esc Rates'!Q288)/((1+DOEUPV_femp_disc)^$A70)+Q69</f>
        <v>19.483690960992664</v>
      </c>
      <c r="R70" s="15">
        <f>('DOE Fuel Esc Rates'!R288)/((1+DOEUPV_femp_disc)^$A70)+R69</f>
        <v>17.513026638864076</v>
      </c>
      <c r="T70" s="33">
        <v>21</v>
      </c>
      <c r="U70" s="33"/>
    </row>
    <row r="71" spans="1:21" x14ac:dyDescent="0.2">
      <c r="A71" s="33">
        <v>22</v>
      </c>
      <c r="C71" s="15">
        <f>('DOE Fuel Esc Rates'!C289)/((1+DOEUPV_femp_disc)^$A71)+C70</f>
        <v>17.898535803992392</v>
      </c>
      <c r="D71" s="15">
        <f>('DOE Fuel Esc Rates'!D289)/((1+DOEUPV_femp_disc)^$A71)+D70</f>
        <v>18.506178749976808</v>
      </c>
      <c r="E71" s="15">
        <f>('DOE Fuel Esc Rates'!E289)/((1+DOEUPV_femp_disc)^$A71)+E70</f>
        <v>18.175264610163136</v>
      </c>
      <c r="F71" s="15">
        <f>('DOE Fuel Esc Rates'!F289)/((1+DOEUPV_femp_disc)^$A71)+F70</f>
        <v>17.324807518883361</v>
      </c>
      <c r="G71"/>
      <c r="H71" s="15">
        <f>('DOE Fuel Esc Rates'!H289)/((1+DOEUPV_femp_disc)^$A71)+H70</f>
        <v>17.312366668487179</v>
      </c>
      <c r="I71" s="15">
        <f>('DOE Fuel Esc Rates'!I289)/((1+DOEUPV_femp_disc)^$A71)+I70</f>
        <v>18.8907130900091</v>
      </c>
      <c r="J71" s="15">
        <f>('DOE Fuel Esc Rates'!J289)/((1+DOEUPV_femp_disc)^$A71)+J70</f>
        <v>21.27685323612943</v>
      </c>
      <c r="K71" s="15">
        <f>('DOE Fuel Esc Rates'!K289)/((1+DOEUPV_femp_disc)^$A71)+K70</f>
        <v>17.99292019554079</v>
      </c>
      <c r="L71" s="15">
        <f>('DOE Fuel Esc Rates'!L289)/((1+DOEUPV_femp_disc)^$A71)+L70</f>
        <v>17.318771518577037</v>
      </c>
      <c r="N71" s="15">
        <f>('DOE Fuel Esc Rates'!N289)/((1+DOEUPV_femp_disc)^$A71)+N70</f>
        <v>17.166696234633935</v>
      </c>
      <c r="O71" s="15">
        <f>('DOE Fuel Esc Rates'!O289)/((1+DOEUPV_femp_disc)^$A71)+O70</f>
        <v>18.508493879484174</v>
      </c>
      <c r="P71" s="15">
        <f>('DOE Fuel Esc Rates'!P289)/((1+DOEUPV_femp_disc)^$A71)+P70</f>
        <v>21.885188848035511</v>
      </c>
      <c r="Q71" s="15">
        <f>('DOE Fuel Esc Rates'!Q289)/((1+DOEUPV_femp_disc)^$A71)+Q70</f>
        <v>20.267012052890372</v>
      </c>
      <c r="R71" s="15">
        <f>('DOE Fuel Esc Rates'!R289)/((1+DOEUPV_femp_disc)^$A71)+R70</f>
        <v>18.165392264967309</v>
      </c>
      <c r="T71" s="33">
        <v>22</v>
      </c>
      <c r="U71" s="33"/>
    </row>
    <row r="72" spans="1:21" x14ac:dyDescent="0.2">
      <c r="A72" s="33">
        <v>23</v>
      </c>
      <c r="C72" s="15">
        <f>('DOE Fuel Esc Rates'!C290)/((1+DOEUPV_femp_disc)^$A72)+C71</f>
        <v>18.5021852818046</v>
      </c>
      <c r="D72" s="15">
        <f>('DOE Fuel Esc Rates'!D290)/((1+DOEUPV_femp_disc)^$A72)+D71</f>
        <v>19.278390301832484</v>
      </c>
      <c r="E72" s="15">
        <f>('DOE Fuel Esc Rates'!E290)/((1+DOEUPV_femp_disc)^$A72)+E71</f>
        <v>18.852074972476768</v>
      </c>
      <c r="F72" s="15">
        <f>('DOE Fuel Esc Rates'!F290)/((1+DOEUPV_femp_disc)^$A72)+F71</f>
        <v>17.924609289460392</v>
      </c>
      <c r="G72"/>
      <c r="H72" s="15">
        <f>('DOE Fuel Esc Rates'!H290)/((1+DOEUPV_femp_disc)^$A72)+H71</f>
        <v>17.892954831675034</v>
      </c>
      <c r="I72" s="15">
        <f>('DOE Fuel Esc Rates'!I290)/((1+DOEUPV_femp_disc)^$A72)+I71</f>
        <v>19.673253489904262</v>
      </c>
      <c r="J72" s="15">
        <f>('DOE Fuel Esc Rates'!J290)/((1+DOEUPV_femp_disc)^$A72)+J71</f>
        <v>22.232801933455001</v>
      </c>
      <c r="K72" s="15">
        <f>('DOE Fuel Esc Rates'!K290)/((1+DOEUPV_femp_disc)^$A72)+K71</f>
        <v>18.656758087646203</v>
      </c>
      <c r="L72" s="15">
        <f>('DOE Fuel Esc Rates'!L290)/((1+DOEUPV_femp_disc)^$A72)+L71</f>
        <v>17.91515714793994</v>
      </c>
      <c r="N72" s="15">
        <f>('DOE Fuel Esc Rates'!N290)/((1+DOEUPV_femp_disc)^$A72)+N71</f>
        <v>17.755770957988169</v>
      </c>
      <c r="O72" s="15">
        <f>('DOE Fuel Esc Rates'!O290)/((1+DOEUPV_femp_disc)^$A72)+O71</f>
        <v>19.270962844491621</v>
      </c>
      <c r="P72" s="15">
        <f>('DOE Fuel Esc Rates'!P290)/((1+DOEUPV_femp_disc)^$A72)+P71</f>
        <v>22.871319999859839</v>
      </c>
      <c r="Q72" s="15">
        <f>('DOE Fuel Esc Rates'!Q290)/((1+DOEUPV_femp_disc)^$A72)+Q71</f>
        <v>21.0425033055702</v>
      </c>
      <c r="R72" s="15">
        <f>('DOE Fuel Esc Rates'!R290)/((1+DOEUPV_femp_disc)^$A72)+R71</f>
        <v>18.802715479789036</v>
      </c>
      <c r="T72" s="33">
        <v>23</v>
      </c>
      <c r="U72" s="33"/>
    </row>
    <row r="73" spans="1:21" x14ac:dyDescent="0.2">
      <c r="A73" s="33">
        <v>24</v>
      </c>
      <c r="C73" s="15">
        <f>('DOE Fuel Esc Rates'!C291)/((1+DOEUPV_femp_disc)^$A73)+C72</f>
        <v>19.09293106835409</v>
      </c>
      <c r="D73" s="15">
        <f>('DOE Fuel Esc Rates'!D291)/((1+DOEUPV_femp_disc)^$A73)+D72</f>
        <v>20.045777071114752</v>
      </c>
      <c r="E73" s="15">
        <f>('DOE Fuel Esc Rates'!E291)/((1+DOEUPV_femp_disc)^$A73)+E72</f>
        <v>19.529500251960823</v>
      </c>
      <c r="F73" s="15">
        <f>('DOE Fuel Esc Rates'!F291)/((1+DOEUPV_femp_disc)^$A73)+F72</f>
        <v>18.512196807865916</v>
      </c>
      <c r="G73"/>
      <c r="H73" s="15">
        <f>('DOE Fuel Esc Rates'!H291)/((1+DOEUPV_femp_disc)^$A73)+H72</f>
        <v>18.461499721530224</v>
      </c>
      <c r="I73" s="15">
        <f>('DOE Fuel Esc Rates'!I291)/((1+DOEUPV_femp_disc)^$A73)+I72</f>
        <v>20.450921192860132</v>
      </c>
      <c r="J73" s="15">
        <f>('DOE Fuel Esc Rates'!J291)/((1+DOEUPV_femp_disc)^$A73)+J72</f>
        <v>23.202020082573476</v>
      </c>
      <c r="K73" s="15">
        <f>('DOE Fuel Esc Rates'!K291)/((1+DOEUPV_femp_disc)^$A73)+K72</f>
        <v>19.322144874888441</v>
      </c>
      <c r="L73" s="15">
        <f>('DOE Fuel Esc Rates'!L291)/((1+DOEUPV_femp_disc)^$A73)+L72</f>
        <v>18.500283300169855</v>
      </c>
      <c r="N73" s="15">
        <f>('DOE Fuel Esc Rates'!N291)/((1+DOEUPV_femp_disc)^$A73)+N72</f>
        <v>18.335002287826775</v>
      </c>
      <c r="O73" s="15">
        <f>('DOE Fuel Esc Rates'!O291)/((1+DOEUPV_femp_disc)^$A73)+O72</f>
        <v>20.028691872154685</v>
      </c>
      <c r="P73" s="15">
        <f>('DOE Fuel Esc Rates'!P291)/((1+DOEUPV_femp_disc)^$A73)+P72</f>
        <v>23.871356609291052</v>
      </c>
      <c r="Q73" s="15">
        <f>('DOE Fuel Esc Rates'!Q291)/((1+DOEUPV_femp_disc)^$A73)+Q72</f>
        <v>21.826323787501174</v>
      </c>
      <c r="R73" s="15">
        <f>('DOE Fuel Esc Rates'!R291)/((1+DOEUPV_femp_disc)^$A73)+R72</f>
        <v>19.427240731001305</v>
      </c>
      <c r="T73" s="33">
        <v>24</v>
      </c>
      <c r="U73" s="33"/>
    </row>
    <row r="74" spans="1:21" x14ac:dyDescent="0.2">
      <c r="A74" s="33">
        <v>25</v>
      </c>
      <c r="C74" s="15">
        <f>('DOE Fuel Esc Rates'!C292)/((1+DOEUPV_femp_disc)^$A74)+C73</f>
        <v>19.671563291171385</v>
      </c>
      <c r="D74" s="15">
        <f>('DOE Fuel Esc Rates'!D292)/((1+DOEUPV_femp_disc)^$A74)+D73</f>
        <v>20.807965018014364</v>
      </c>
      <c r="E74" s="15">
        <f>('DOE Fuel Esc Rates'!E292)/((1+DOEUPV_femp_disc)^$A74)+E73</f>
        <v>20.208410647936073</v>
      </c>
      <c r="F74" s="15">
        <f>('DOE Fuel Esc Rates'!F292)/((1+DOEUPV_femp_disc)^$A74)+F73</f>
        <v>19.088283012669777</v>
      </c>
      <c r="G74"/>
      <c r="H74" s="15">
        <f>('DOE Fuel Esc Rates'!H292)/((1+DOEUPV_femp_disc)^$A74)+H73</f>
        <v>19.0189103987374</v>
      </c>
      <c r="I74" s="15">
        <f>('DOE Fuel Esc Rates'!I292)/((1+DOEUPV_femp_disc)^$A74)+I73</f>
        <v>21.222859535593923</v>
      </c>
      <c r="J74" s="15">
        <f>('DOE Fuel Esc Rates'!J292)/((1+DOEUPV_femp_disc)^$A74)+J73</f>
        <v>24.19347602414355</v>
      </c>
      <c r="K74" s="15">
        <f>('DOE Fuel Esc Rates'!K292)/((1+DOEUPV_femp_disc)^$A74)+K73</f>
        <v>19.99011681491713</v>
      </c>
      <c r="L74" s="15">
        <f>('DOE Fuel Esc Rates'!L292)/((1+DOEUPV_femp_disc)^$A74)+L73</f>
        <v>19.072816684440042</v>
      </c>
      <c r="N74" s="15">
        <f>('DOE Fuel Esc Rates'!N292)/((1+DOEUPV_femp_disc)^$A74)+N73</f>
        <v>18.904922027070423</v>
      </c>
      <c r="O74" s="15">
        <f>('DOE Fuel Esc Rates'!O292)/((1+DOEUPV_femp_disc)^$A74)+O73</f>
        <v>20.780393535867852</v>
      </c>
      <c r="P74" s="15">
        <f>('DOE Fuel Esc Rates'!P292)/((1+DOEUPV_femp_disc)^$A74)+P73</f>
        <v>24.894593242241083</v>
      </c>
      <c r="Q74" s="15">
        <f>('DOE Fuel Esc Rates'!Q292)/((1+DOEUPV_femp_disc)^$A74)+Q73</f>
        <v>22.619096063281155</v>
      </c>
      <c r="R74" s="15">
        <f>('DOE Fuel Esc Rates'!R292)/((1+DOEUPV_femp_disc)^$A74)+R73</f>
        <v>20.039172866617808</v>
      </c>
      <c r="T74" s="33">
        <v>25</v>
      </c>
      <c r="U74" s="33"/>
    </row>
    <row r="75" spans="1:21" x14ac:dyDescent="0.2">
      <c r="A75" s="33">
        <v>26</v>
      </c>
      <c r="C75" s="15">
        <f>('DOE Fuel Esc Rates'!C293)/((1+DOEUPV_femp_disc)^$A75)+C74</f>
        <v>20.236281999573436</v>
      </c>
      <c r="D75" s="15">
        <f>('DOE Fuel Esc Rates'!D293)/((1+DOEUPV_femp_disc)^$A75)+D74</f>
        <v>21.564371439860182</v>
      </c>
      <c r="E75" s="15">
        <f>('DOE Fuel Esc Rates'!E293)/((1+DOEUPV_femp_disc)^$A75)+E74</f>
        <v>20.877606447762098</v>
      </c>
      <c r="F75" s="15">
        <f>('DOE Fuel Esc Rates'!F293)/((1+DOEUPV_femp_disc)^$A75)+F74</f>
        <v>19.651800910598514</v>
      </c>
      <c r="G75"/>
      <c r="H75" s="15">
        <f>('DOE Fuel Esc Rates'!H293)/((1+DOEUPV_femp_disc)^$A75)+H74</f>
        <v>19.563144261685562</v>
      </c>
      <c r="I75" s="15">
        <f>('DOE Fuel Esc Rates'!I293)/((1+DOEUPV_femp_disc)^$A75)+I74</f>
        <v>21.98851115889433</v>
      </c>
      <c r="J75" s="15">
        <f>('DOE Fuel Esc Rates'!J293)/((1+DOEUPV_femp_disc)^$A75)+J74</f>
        <v>25.192580033408262</v>
      </c>
      <c r="K75" s="15">
        <f>('DOE Fuel Esc Rates'!K293)/((1+DOEUPV_femp_disc)^$A75)+K74</f>
        <v>20.650116267768869</v>
      </c>
      <c r="L75" s="15">
        <f>('DOE Fuel Esc Rates'!L293)/((1+DOEUPV_femp_disc)^$A75)+L74</f>
        <v>19.632994476283454</v>
      </c>
      <c r="N75" s="15">
        <f>('DOE Fuel Esc Rates'!N293)/((1+DOEUPV_femp_disc)^$A75)+N74</f>
        <v>19.462690073312999</v>
      </c>
      <c r="O75" s="15">
        <f>('DOE Fuel Esc Rates'!O293)/((1+DOEUPV_femp_disc)^$A75)+O74</f>
        <v>21.525776135157194</v>
      </c>
      <c r="P75" s="15">
        <f>('DOE Fuel Esc Rates'!P293)/((1+DOEUPV_femp_disc)^$A75)+P74</f>
        <v>25.925436500849393</v>
      </c>
      <c r="Q75" s="15">
        <f>('DOE Fuel Esc Rates'!Q293)/((1+DOEUPV_femp_disc)^$A75)+Q74</f>
        <v>23.405920018528008</v>
      </c>
      <c r="R75" s="15">
        <f>('DOE Fuel Esc Rates'!R293)/((1+DOEUPV_femp_disc)^$A75)+R74</f>
        <v>20.638715658735563</v>
      </c>
      <c r="T75" s="33">
        <v>26</v>
      </c>
      <c r="U75" s="33"/>
    </row>
    <row r="76" spans="1:21" x14ac:dyDescent="0.2">
      <c r="A76" s="33">
        <v>27</v>
      </c>
      <c r="C76" s="15">
        <f>('DOE Fuel Esc Rates'!C294)/((1+DOEUPV_femp_disc)^$A76)+C75</f>
        <v>20.786758127415851</v>
      </c>
      <c r="D76" s="15">
        <f>('DOE Fuel Esc Rates'!D294)/((1+DOEUPV_femp_disc)^$A76)+D75</f>
        <v>22.314686532802746</v>
      </c>
      <c r="E76" s="15">
        <f>('DOE Fuel Esc Rates'!E294)/((1+DOEUPV_femp_disc)^$A76)+E75</f>
        <v>21.534752249204974</v>
      </c>
      <c r="F76" s="15">
        <f>('DOE Fuel Esc Rates'!F294)/((1+DOEUPV_femp_disc)^$A76)+F75</f>
        <v>20.202753435576533</v>
      </c>
      <c r="G76"/>
      <c r="H76" s="15">
        <f>('DOE Fuel Esc Rates'!H294)/((1+DOEUPV_femp_disc)^$A76)+H75</f>
        <v>20.093836160695361</v>
      </c>
      <c r="I76" s="15">
        <f>('DOE Fuel Esc Rates'!I294)/((1+DOEUPV_femp_disc)^$A76)+I75</f>
        <v>22.747587416095804</v>
      </c>
      <c r="J76" s="15">
        <f>('DOE Fuel Esc Rates'!J294)/((1+DOEUPV_femp_disc)^$A76)+J75</f>
        <v>26.192856004576072</v>
      </c>
      <c r="K76" s="15">
        <f>('DOE Fuel Esc Rates'!K294)/((1+DOEUPV_femp_disc)^$A76)+K75</f>
        <v>21.298855685393264</v>
      </c>
      <c r="L76" s="15">
        <f>('DOE Fuel Esc Rates'!L294)/((1+DOEUPV_femp_disc)^$A76)+L75</f>
        <v>20.182448820742636</v>
      </c>
      <c r="N76" s="15">
        <f>('DOE Fuel Esc Rates'!N294)/((1+DOEUPV_femp_disc)^$A76)+N75</f>
        <v>20.00766713650351</v>
      </c>
      <c r="O76" s="15">
        <f>('DOE Fuel Esc Rates'!O294)/((1+DOEUPV_femp_disc)^$A76)+O75</f>
        <v>22.264786096660988</v>
      </c>
      <c r="P76" s="15">
        <f>('DOE Fuel Esc Rates'!P294)/((1+DOEUPV_femp_disc)^$A76)+P75</f>
        <v>26.958091277172137</v>
      </c>
      <c r="Q76" s="15">
        <f>('DOE Fuel Esc Rates'!Q294)/((1+DOEUPV_femp_disc)^$A76)+Q75</f>
        <v>24.183141050108439</v>
      </c>
      <c r="R76" s="15">
        <f>('DOE Fuel Esc Rates'!R294)/((1+DOEUPV_femp_disc)^$A76)+R75</f>
        <v>21.226071692429663</v>
      </c>
      <c r="T76" s="33">
        <v>27</v>
      </c>
      <c r="U76" s="33"/>
    </row>
    <row r="77" spans="1:21" x14ac:dyDescent="0.2">
      <c r="A77" s="33">
        <v>28</v>
      </c>
      <c r="C77" s="15">
        <f>('DOE Fuel Esc Rates'!C295)/((1+DOEUPV_femp_disc)^$A77)+C76</f>
        <v>21.323468226914173</v>
      </c>
      <c r="D77" s="15">
        <f>('DOE Fuel Esc Rates'!D295)/((1+DOEUPV_femp_disc)^$A77)+D76</f>
        <v>23.059286686914021</v>
      </c>
      <c r="E77" s="15">
        <f>('DOE Fuel Esc Rates'!E295)/((1+DOEUPV_femp_disc)^$A77)+E76</f>
        <v>22.179530765245644</v>
      </c>
      <c r="F77" s="15">
        <f>('DOE Fuel Esc Rates'!F295)/((1+DOEUPV_femp_disc)^$A77)+F76</f>
        <v>20.741161017206341</v>
      </c>
      <c r="G77"/>
      <c r="H77" s="15">
        <f>('DOE Fuel Esc Rates'!H295)/((1+DOEUPV_femp_disc)^$A77)+H76</f>
        <v>20.611313254683505</v>
      </c>
      <c r="I77" s="15">
        <f>('DOE Fuel Esc Rates'!I295)/((1+DOEUPV_femp_disc)^$A77)+I76</f>
        <v>23.500476114670811</v>
      </c>
      <c r="J77" s="15">
        <f>('DOE Fuel Esc Rates'!J295)/((1+DOEUPV_femp_disc)^$A77)+J76</f>
        <v>27.194647678989746</v>
      </c>
      <c r="K77" s="15">
        <f>('DOE Fuel Esc Rates'!K295)/((1+DOEUPV_femp_disc)^$A77)+K76</f>
        <v>21.936946511366124</v>
      </c>
      <c r="L77" s="15">
        <f>('DOE Fuel Esc Rates'!L295)/((1+DOEUPV_femp_disc)^$A77)+L76</f>
        <v>20.719971784268999</v>
      </c>
      <c r="N77" s="15">
        <f>('DOE Fuel Esc Rates'!N295)/((1+DOEUPV_femp_disc)^$A77)+N76</f>
        <v>20.540125147560047</v>
      </c>
      <c r="O77" s="15">
        <f>('DOE Fuel Esc Rates'!O295)/((1+DOEUPV_femp_disc)^$A77)+O76</f>
        <v>22.997581766323879</v>
      </c>
      <c r="P77" s="15">
        <f>('DOE Fuel Esc Rates'!P295)/((1+DOEUPV_femp_disc)^$A77)+P76</f>
        <v>27.992448214953942</v>
      </c>
      <c r="Q77" s="15">
        <f>('DOE Fuel Esc Rates'!Q295)/((1+DOEUPV_femp_disc)^$A77)+Q76</f>
        <v>24.950651060296803</v>
      </c>
      <c r="R77" s="15">
        <f>('DOE Fuel Esc Rates'!R295)/((1+DOEUPV_femp_disc)^$A77)+R76</f>
        <v>21.803149593099992</v>
      </c>
      <c r="T77" s="33">
        <v>28</v>
      </c>
      <c r="U77" s="33"/>
    </row>
    <row r="78" spans="1:21" x14ac:dyDescent="0.2">
      <c r="A78" s="33">
        <v>29</v>
      </c>
      <c r="C78" s="15">
        <f>('DOE Fuel Esc Rates'!C296)/((1+DOEUPV_femp_disc)^$A78)+C77</f>
        <v>21.846624923722622</v>
      </c>
      <c r="D78" s="15">
        <f>('DOE Fuel Esc Rates'!D296)/((1+DOEUPV_femp_disc)^$A78)+D77</f>
        <v>23.798082933267771</v>
      </c>
      <c r="E78" s="15">
        <f>('DOE Fuel Esc Rates'!E296)/((1+DOEUPV_femp_disc)^$A78)+E77</f>
        <v>22.812543313967957</v>
      </c>
      <c r="F78" s="15">
        <f>('DOE Fuel Esc Rates'!F296)/((1+DOEUPV_femp_disc)^$A78)+F77</f>
        <v>21.267287035850313</v>
      </c>
      <c r="G78"/>
      <c r="H78" s="15">
        <f>('DOE Fuel Esc Rates'!H296)/((1+DOEUPV_femp_disc)^$A78)+H77</f>
        <v>21.11573963771967</v>
      </c>
      <c r="I78" s="15">
        <f>('DOE Fuel Esc Rates'!I296)/((1+DOEUPV_femp_disc)^$A78)+I77</f>
        <v>24.247317242333974</v>
      </c>
      <c r="J78" s="15">
        <f>('DOE Fuel Esc Rates'!J296)/((1+DOEUPV_femp_disc)^$A78)+J77</f>
        <v>28.197833459608098</v>
      </c>
      <c r="K78" s="15">
        <f>('DOE Fuel Esc Rates'!K296)/((1+DOEUPV_femp_disc)^$A78)+K77</f>
        <v>22.564458702788219</v>
      </c>
      <c r="L78" s="15">
        <f>('DOE Fuel Esc Rates'!L296)/((1+DOEUPV_femp_disc)^$A78)+L77</f>
        <v>21.245792276685933</v>
      </c>
      <c r="N78" s="15">
        <f>('DOE Fuel Esc Rates'!N296)/((1+DOEUPV_femp_disc)^$A78)+N77</f>
        <v>21.06033104782016</v>
      </c>
      <c r="O78" s="15">
        <f>('DOE Fuel Esc Rates'!O296)/((1+DOEUPV_femp_disc)^$A78)+O77</f>
        <v>23.724101833834119</v>
      </c>
      <c r="P78" s="15">
        <f>('DOE Fuel Esc Rates'!P296)/((1+DOEUPV_femp_disc)^$A78)+P77</f>
        <v>29.02795477634676</v>
      </c>
      <c r="Q78" s="15">
        <f>('DOE Fuel Esc Rates'!Q296)/((1+DOEUPV_femp_disc)^$A78)+Q77</f>
        <v>25.708356394831252</v>
      </c>
      <c r="R78" s="15">
        <f>('DOE Fuel Esc Rates'!R296)/((1+DOEUPV_femp_disc)^$A78)+R77</f>
        <v>22.368392208509256</v>
      </c>
      <c r="T78" s="33">
        <v>29</v>
      </c>
      <c r="U78" s="33"/>
    </row>
    <row r="79" spans="1:21" x14ac:dyDescent="0.2">
      <c r="A79" s="33">
        <v>30</v>
      </c>
      <c r="C79" s="15">
        <f>('DOE Fuel Esc Rates'!C297)/((1+DOEUPV_femp_disc)^$A79)+C78</f>
        <v>22.356681153947502</v>
      </c>
      <c r="D79" s="15">
        <f>('DOE Fuel Esc Rates'!D297)/((1+DOEUPV_femp_disc)^$A79)+D78</f>
        <v>24.531406861814293</v>
      </c>
      <c r="E79" s="15">
        <f>('DOE Fuel Esc Rates'!E297)/((1+DOEUPV_femp_disc)^$A79)+E78</f>
        <v>23.434353908650539</v>
      </c>
      <c r="F79" s="15">
        <f>('DOE Fuel Esc Rates'!F297)/((1+DOEUPV_femp_disc)^$A79)+F78</f>
        <v>21.781610250053664</v>
      </c>
      <c r="G79"/>
      <c r="H79" s="15">
        <f>('DOE Fuel Esc Rates'!H297)/((1+DOEUPV_femp_disc)^$A79)+H78</f>
        <v>21.607587516980509</v>
      </c>
      <c r="I79" s="15">
        <f>('DOE Fuel Esc Rates'!I297)/((1+DOEUPV_femp_disc)^$A79)+I78</f>
        <v>24.988235546373559</v>
      </c>
      <c r="J79" s="15">
        <f>('DOE Fuel Esc Rates'!J297)/((1+DOEUPV_femp_disc)^$A79)+J78</f>
        <v>29.202273801252069</v>
      </c>
      <c r="K79" s="15">
        <f>('DOE Fuel Esc Rates'!K297)/((1+DOEUPV_femp_disc)^$A79)+K78</f>
        <v>23.181467175176429</v>
      </c>
      <c r="L79" s="15">
        <f>('DOE Fuel Esc Rates'!L297)/((1+DOEUPV_femp_disc)^$A79)+L78</f>
        <v>21.761415457073852</v>
      </c>
      <c r="N79" s="15">
        <f>('DOE Fuel Esc Rates'!N297)/((1+DOEUPV_femp_disc)^$A79)+N78</f>
        <v>21.56874444457528</v>
      </c>
      <c r="O79" s="15">
        <f>('DOE Fuel Esc Rates'!O297)/((1+DOEUPV_femp_disc)^$A79)+O78</f>
        <v>24.444683282219668</v>
      </c>
      <c r="P79" s="15">
        <f>('DOE Fuel Esc Rates'!P297)/((1+DOEUPV_femp_disc)^$A79)+P78</f>
        <v>30.064897546562594</v>
      </c>
      <c r="Q79" s="15">
        <f>('DOE Fuel Esc Rates'!Q297)/((1+DOEUPV_femp_disc)^$A79)+Q78</f>
        <v>26.456177093250144</v>
      </c>
      <c r="R79" s="15">
        <f>('DOE Fuel Esc Rates'!R297)/((1+DOEUPV_femp_disc)^$A79)+R78</f>
        <v>22.921999416608756</v>
      </c>
      <c r="T79" s="33">
        <v>30</v>
      </c>
      <c r="U79" s="33"/>
    </row>
    <row r="80" spans="1:21" ht="1.5" customHeight="1" x14ac:dyDescent="0.2">
      <c r="G80"/>
      <c r="H80"/>
      <c r="I80"/>
      <c r="J80"/>
      <c r="K80"/>
      <c r="L80"/>
      <c r="N80"/>
      <c r="O80"/>
      <c r="P80"/>
      <c r="Q80"/>
      <c r="R80"/>
    </row>
    <row r="81" spans="1:24" ht="21" x14ac:dyDescent="0.4">
      <c r="A81" s="17" t="s">
        <v>107</v>
      </c>
      <c r="B81" s="34"/>
      <c r="C81" s="26"/>
      <c r="D81" s="7"/>
      <c r="E81" s="7"/>
      <c r="F81" s="7"/>
      <c r="G81" s="7"/>
      <c r="H81" s="7"/>
      <c r="I81" s="7"/>
      <c r="J81" s="7"/>
      <c r="K81" s="7"/>
      <c r="L81" s="7"/>
      <c r="M81" s="4"/>
      <c r="N81" s="4"/>
      <c r="O81" s="4"/>
      <c r="P81" s="4"/>
      <c r="Q81" s="4"/>
      <c r="R81" s="4"/>
      <c r="S81" s="34"/>
      <c r="T81" s="4"/>
      <c r="U81" s="17"/>
    </row>
    <row r="82" spans="1:24" ht="18.75" x14ac:dyDescent="0.3">
      <c r="A82" s="18" t="s">
        <v>108</v>
      </c>
      <c r="B82" s="35"/>
      <c r="C82" s="26"/>
      <c r="D82" s="7"/>
      <c r="E82" s="7"/>
      <c r="F82" s="7"/>
      <c r="G82" s="7"/>
      <c r="H82" s="7"/>
      <c r="I82" s="7"/>
      <c r="J82" s="7"/>
      <c r="K82" s="7"/>
      <c r="L82" s="7"/>
      <c r="M82" s="4"/>
      <c r="N82" s="4"/>
      <c r="O82" s="4"/>
      <c r="P82" s="4"/>
      <c r="Q82" s="4"/>
      <c r="R82" s="4"/>
      <c r="S82" s="35"/>
      <c r="T82" s="4"/>
      <c r="U82" s="18"/>
    </row>
    <row r="83" spans="1:24" ht="18.75" x14ac:dyDescent="0.3">
      <c r="A83" s="18"/>
      <c r="B83" s="35"/>
      <c r="C83" s="26"/>
      <c r="D83" s="7"/>
      <c r="E83" s="7"/>
      <c r="F83" s="7"/>
      <c r="G83" s="7"/>
      <c r="H83" s="7"/>
      <c r="I83"/>
      <c r="J83"/>
      <c r="K83"/>
      <c r="L83"/>
      <c r="M83" s="28" t="str">
        <f>$M$3</f>
        <v>DOE discount rate (2015 data) =</v>
      </c>
      <c r="N83" s="39">
        <f>'General Data'!$M$10</f>
        <v>0.03</v>
      </c>
      <c r="O83" s="4"/>
      <c r="P83" s="4"/>
      <c r="Q83" s="4"/>
      <c r="R83" s="4"/>
      <c r="S83" s="35"/>
      <c r="T83" s="4"/>
      <c r="U83" s="18"/>
      <c r="X83" s="1"/>
    </row>
    <row r="84" spans="1:24" ht="4.5" customHeight="1" x14ac:dyDescent="0.3">
      <c r="A84" s="18"/>
      <c r="B84" s="35"/>
      <c r="C84" s="26"/>
      <c r="D84" s="7"/>
      <c r="E84" s="7"/>
      <c r="F84" s="7"/>
      <c r="G84" s="7"/>
      <c r="H84" s="7"/>
      <c r="I84"/>
      <c r="J84"/>
      <c r="K84" s="28"/>
      <c r="L84" s="36"/>
      <c r="M84" s="4"/>
      <c r="N84" s="4"/>
      <c r="O84" s="4"/>
      <c r="P84" s="4"/>
      <c r="Q84" s="4"/>
      <c r="R84" s="4"/>
      <c r="S84" s="35"/>
      <c r="T84" s="4"/>
      <c r="U84" s="18"/>
      <c r="X84" s="1"/>
    </row>
    <row r="85" spans="1:24" ht="15.75" customHeight="1" x14ac:dyDescent="0.25">
      <c r="A85" s="31" t="s">
        <v>117</v>
      </c>
      <c r="B85" s="4"/>
      <c r="C85" s="4"/>
      <c r="D85" s="4"/>
      <c r="E85" s="4"/>
      <c r="F85" s="4"/>
      <c r="G85" s="4"/>
      <c r="H85" s="4"/>
      <c r="I85" s="4"/>
      <c r="J85" s="4"/>
      <c r="K85" s="4"/>
      <c r="L85" s="4"/>
      <c r="M85" s="4"/>
      <c r="N85" s="4"/>
      <c r="O85" s="4"/>
      <c r="P85" s="4"/>
      <c r="Q85" s="4"/>
      <c r="R85" s="4"/>
      <c r="S85" s="4"/>
      <c r="T85" s="31"/>
      <c r="U85"/>
    </row>
    <row r="86" spans="1:24" ht="15" x14ac:dyDescent="0.2">
      <c r="A86" s="37" t="s">
        <v>155</v>
      </c>
      <c r="B86" s="4"/>
      <c r="C86" s="4"/>
      <c r="D86" s="4"/>
      <c r="E86" s="4"/>
      <c r="F86" s="4"/>
      <c r="G86" s="4"/>
      <c r="H86" s="4"/>
      <c r="I86" s="4"/>
      <c r="J86" s="4"/>
      <c r="K86" s="4"/>
      <c r="L86" s="4"/>
      <c r="M86" s="4"/>
      <c r="N86" s="4"/>
      <c r="O86" s="4"/>
      <c r="P86" s="4"/>
      <c r="Q86" s="4"/>
      <c r="R86" s="4"/>
      <c r="S86" s="4"/>
      <c r="T86" s="4"/>
      <c r="U86"/>
    </row>
    <row r="87" spans="1:24" ht="4.5" customHeight="1" x14ac:dyDescent="0.2">
      <c r="D87" s="4"/>
      <c r="E87" s="4"/>
      <c r="F87" s="4"/>
      <c r="G87" s="12"/>
      <c r="H87" s="12"/>
      <c r="I87" s="12"/>
      <c r="J87" s="12"/>
      <c r="K87" s="12"/>
      <c r="L87" s="12"/>
      <c r="N87" s="12"/>
      <c r="O87" s="12"/>
      <c r="P87" s="12"/>
      <c r="Q87" s="12"/>
      <c r="R87" s="12"/>
    </row>
    <row r="88" spans="1:24" x14ac:dyDescent="0.2">
      <c r="A88"/>
      <c r="C88" s="29" t="s">
        <v>111</v>
      </c>
      <c r="D88" s="4"/>
      <c r="E88" s="4"/>
      <c r="F88" s="4"/>
      <c r="G88" s="12"/>
      <c r="H88" s="29" t="s">
        <v>112</v>
      </c>
      <c r="I88" s="4"/>
      <c r="J88" s="4"/>
      <c r="K88" s="4"/>
      <c r="L88" s="4"/>
      <c r="N88" s="29" t="s">
        <v>113</v>
      </c>
      <c r="O88" s="4"/>
      <c r="P88" s="4"/>
      <c r="Q88" s="4"/>
      <c r="R88" s="4"/>
      <c r="T88"/>
    </row>
    <row r="89" spans="1:24" x14ac:dyDescent="0.2">
      <c r="A89" s="1" t="s">
        <v>114</v>
      </c>
      <c r="C89" s="32" t="str">
        <f>'DOE Fuel Esc Rates'!C304</f>
        <v>Electric</v>
      </c>
      <c r="D89" s="32" t="str">
        <f>'DOE Fuel Esc Rates'!D304</f>
        <v>Dist</v>
      </c>
      <c r="E89" s="32" t="str">
        <f>'DOE Fuel Esc Rates'!E304</f>
        <v>Nat Gas</v>
      </c>
      <c r="F89" s="32" t="str">
        <f>'DOE Fuel Esc Rates'!F304</f>
        <v>LPG</v>
      </c>
      <c r="G89" s="32"/>
      <c r="H89" s="32" t="str">
        <f>'DOE Fuel Esc Rates'!H304</f>
        <v>Electric</v>
      </c>
      <c r="I89" s="32" t="str">
        <f>'DOE Fuel Esc Rates'!I304</f>
        <v>Dist</v>
      </c>
      <c r="J89" s="32" t="str">
        <f>'DOE Fuel Esc Rates'!J304</f>
        <v>Resid</v>
      </c>
      <c r="K89" s="32" t="str">
        <f>'DOE Fuel Esc Rates'!K304</f>
        <v>Nat Gas</v>
      </c>
      <c r="L89" s="32" t="str">
        <f>'DOE Fuel Esc Rates'!L304</f>
        <v>Coal</v>
      </c>
      <c r="M89" s="32"/>
      <c r="N89" s="32" t="str">
        <f>'DOE Fuel Esc Rates'!N304</f>
        <v>Electric</v>
      </c>
      <c r="O89" s="32" t="str">
        <f>'DOE Fuel Esc Rates'!O304</f>
        <v>Dist</v>
      </c>
      <c r="P89" s="32" t="str">
        <f>'DOE Fuel Esc Rates'!P304</f>
        <v>Resid</v>
      </c>
      <c r="Q89" s="32" t="str">
        <f>'DOE Fuel Esc Rates'!Q304</f>
        <v>Nat Gas</v>
      </c>
      <c r="R89" s="32" t="str">
        <f>'DOE Fuel Esc Rates'!R304</f>
        <v>Coal</v>
      </c>
      <c r="T89" s="1" t="s">
        <v>114</v>
      </c>
    </row>
    <row r="90" spans="1:24" x14ac:dyDescent="0.2">
      <c r="A90" s="33">
        <v>1</v>
      </c>
      <c r="C90" s="15">
        <f>('DOE Fuel Esc Rates'!C305)/((1+DOEUPV_femp_disc)^$A90)</f>
        <v>0.99841214969151171</v>
      </c>
      <c r="D90" s="15">
        <f>('DOE Fuel Esc Rates'!D305)/((1+DOEUPV_femp_disc)^$A90)</f>
        <v>0.95499725769049426</v>
      </c>
      <c r="E90" s="15">
        <f>('DOE Fuel Esc Rates'!E305)/((1+DOEUPV_femp_disc)^$A90)</f>
        <v>0.9582854715110698</v>
      </c>
      <c r="F90" s="15">
        <f>('DOE Fuel Esc Rates'!F305)/((1+DOEUPV_femp_disc)^$A90)</f>
        <v>0.97957188773650528</v>
      </c>
      <c r="G90"/>
      <c r="H90" s="15">
        <f>('DOE Fuel Esc Rates'!H305)/((1+DOEUPV_femp_disc)^$A90)</f>
        <v>0.98424387033075533</v>
      </c>
      <c r="I90" s="15">
        <f>('DOE Fuel Esc Rates'!I305)/((1+DOEUPV_femp_disc)^$A90)</f>
        <v>0.9552852459335831</v>
      </c>
      <c r="J90" s="15">
        <f>('DOE Fuel Esc Rates'!J305)/((1+DOEUPV_femp_disc)^$A90)</f>
        <v>0.97834204630321131</v>
      </c>
      <c r="K90" s="15">
        <f>('DOE Fuel Esc Rates'!K305)/((1+DOEUPV_femp_disc)^$A90)</f>
        <v>0.95348500217359777</v>
      </c>
      <c r="L90" s="15">
        <f>('DOE Fuel Esc Rates'!L305)/((1+DOEUPV_femp_disc)^$A90)</f>
        <v>0.97721936671108567</v>
      </c>
      <c r="N90" s="15">
        <f>('DOE Fuel Esc Rates'!N305)/((1+DOEUPV_femp_disc)^$A90)</f>
        <v>0.97389831533738602</v>
      </c>
      <c r="O90" s="15">
        <f>('DOE Fuel Esc Rates'!O305)/((1+DOEUPV_femp_disc)^$A90)</f>
        <v>0.95460483187949496</v>
      </c>
      <c r="P90" s="15">
        <f>('DOE Fuel Esc Rates'!P305)/((1+DOEUPV_femp_disc)^$A90)</f>
        <v>0.97992430475563597</v>
      </c>
      <c r="Q90" s="15">
        <f>('DOE Fuel Esc Rates'!Q305)/((1+DOEUPV_femp_disc)^$A90)</f>
        <v>0.92979004043505509</v>
      </c>
      <c r="R90" s="15">
        <f>('DOE Fuel Esc Rates'!R305)/((1+DOEUPV_femp_disc)^$A90)</f>
        <v>0.98083146626835938</v>
      </c>
      <c r="T90" s="33">
        <v>1</v>
      </c>
      <c r="U90" s="33"/>
    </row>
    <row r="91" spans="1:24" x14ac:dyDescent="0.2">
      <c r="A91" s="33">
        <v>2</v>
      </c>
      <c r="C91" s="15">
        <f>('DOE Fuel Esc Rates'!C306)/((1+DOEUPV_femp_disc)^$A91)+C90</f>
        <v>1.9782681867964556</v>
      </c>
      <c r="D91" s="15">
        <f>('DOE Fuel Esc Rates'!D306)/((1+DOEUPV_femp_disc)^$A91)+D90</f>
        <v>1.9116059900522033</v>
      </c>
      <c r="E91" s="15">
        <f>('DOE Fuel Esc Rates'!E306)/((1+DOEUPV_femp_disc)^$A91)+E90</f>
        <v>1.8749103426297937</v>
      </c>
      <c r="F91" s="15">
        <f>('DOE Fuel Esc Rates'!F306)/((1+DOEUPV_femp_disc)^$A91)+F90</f>
        <v>1.9563489625171746</v>
      </c>
      <c r="G91"/>
      <c r="H91" s="15">
        <f>('DOE Fuel Esc Rates'!H306)/((1+DOEUPV_femp_disc)^$A91)+H90</f>
        <v>1.9441473314683781</v>
      </c>
      <c r="I91" s="15">
        <f>('DOE Fuel Esc Rates'!I306)/((1+DOEUPV_femp_disc)^$A91)+I90</f>
        <v>1.914907473546422</v>
      </c>
      <c r="J91" s="15">
        <f>('DOE Fuel Esc Rates'!J306)/((1+DOEUPV_femp_disc)^$A91)+J90</f>
        <v>1.9861945953000717</v>
      </c>
      <c r="K91" s="15">
        <f>('DOE Fuel Esc Rates'!K306)/((1+DOEUPV_femp_disc)^$A91)+K90</f>
        <v>1.8482476860677286</v>
      </c>
      <c r="L91" s="15">
        <f>('DOE Fuel Esc Rates'!L306)/((1+DOEUPV_femp_disc)^$A91)+L90</f>
        <v>1.9362439627142738</v>
      </c>
      <c r="N91" s="15">
        <f>('DOE Fuel Esc Rates'!N306)/((1+DOEUPV_femp_disc)^$A91)+N90</f>
        <v>1.9179624423981396</v>
      </c>
      <c r="O91" s="15">
        <f>('DOE Fuel Esc Rates'!O306)/((1+DOEUPV_femp_disc)^$A91)+O90</f>
        <v>1.9023109209050539</v>
      </c>
      <c r="P91" s="15">
        <f>('DOE Fuel Esc Rates'!P306)/((1+DOEUPV_femp_disc)^$A91)+P90</f>
        <v>1.9912178818432062</v>
      </c>
      <c r="Q91" s="15">
        <f>('DOE Fuel Esc Rates'!Q306)/((1+DOEUPV_femp_disc)^$A91)+Q90</f>
        <v>1.8765845950437925</v>
      </c>
      <c r="R91" s="15">
        <f>('DOE Fuel Esc Rates'!R306)/((1+DOEUPV_femp_disc)^$A91)+R90</f>
        <v>1.9475965012773382</v>
      </c>
      <c r="T91" s="33">
        <v>2</v>
      </c>
      <c r="U91" s="33"/>
    </row>
    <row r="92" spans="1:24" x14ac:dyDescent="0.2">
      <c r="A92" s="33">
        <v>3</v>
      </c>
      <c r="C92" s="15">
        <f>('DOE Fuel Esc Rates'!C307)/((1+DOEUPV_femp_disc)^$A92)+C91</f>
        <v>2.9251664215345317</v>
      </c>
      <c r="D92" s="15">
        <f>('DOE Fuel Esc Rates'!D307)/((1+DOEUPV_femp_disc)^$A92)+D91</f>
        <v>2.8435267581249204</v>
      </c>
      <c r="E92" s="15">
        <f>('DOE Fuel Esc Rates'!E307)/((1+DOEUPV_femp_disc)^$A92)+E91</f>
        <v>2.767803825499489</v>
      </c>
      <c r="F92" s="15">
        <f>('DOE Fuel Esc Rates'!F307)/((1+DOEUPV_femp_disc)^$A92)+F91</f>
        <v>2.9140462707054429</v>
      </c>
      <c r="G92"/>
      <c r="H92" s="15">
        <f>('DOE Fuel Esc Rates'!H307)/((1+DOEUPV_femp_disc)^$A92)+H91</f>
        <v>2.8689832880604484</v>
      </c>
      <c r="I92" s="15">
        <f>('DOE Fuel Esc Rates'!I307)/((1+DOEUPV_femp_disc)^$A92)+I91</f>
        <v>2.8516304966675685</v>
      </c>
      <c r="J92" s="15">
        <f>('DOE Fuel Esc Rates'!J307)/((1+DOEUPV_femp_disc)^$A92)+J91</f>
        <v>2.9701674221943235</v>
      </c>
      <c r="K92" s="15">
        <f>('DOE Fuel Esc Rates'!K307)/((1+DOEUPV_femp_disc)^$A92)+K91</f>
        <v>2.7051116676113338</v>
      </c>
      <c r="L92" s="15">
        <f>('DOE Fuel Esc Rates'!L307)/((1+DOEUPV_femp_disc)^$A92)+L91</f>
        <v>2.8673358034940679</v>
      </c>
      <c r="N92" s="15">
        <f>('DOE Fuel Esc Rates'!N307)/((1+DOEUPV_femp_disc)^$A92)+N91</f>
        <v>2.8240762245302657</v>
      </c>
      <c r="O92" s="15">
        <f>('DOE Fuel Esc Rates'!O307)/((1+DOEUPV_femp_disc)^$A92)+O91</f>
        <v>2.8242180434865514</v>
      </c>
      <c r="P92" s="15">
        <f>('DOE Fuel Esc Rates'!P307)/((1+DOEUPV_femp_disc)^$A92)+P91</f>
        <v>2.9800362002120862</v>
      </c>
      <c r="Q92" s="15">
        <f>('DOE Fuel Esc Rates'!Q307)/((1+DOEUPV_femp_disc)^$A92)+Q91</f>
        <v>2.8651006413384077</v>
      </c>
      <c r="R92" s="15">
        <f>('DOE Fuel Esc Rates'!R307)/((1+DOEUPV_femp_disc)^$A92)+R91</f>
        <v>2.8885498484584073</v>
      </c>
      <c r="T92" s="33">
        <v>3</v>
      </c>
      <c r="U92" s="33"/>
    </row>
    <row r="93" spans="1:24" x14ac:dyDescent="0.2">
      <c r="A93" s="33">
        <v>4</v>
      </c>
      <c r="C93" s="15">
        <f>('DOE Fuel Esc Rates'!C308)/((1+DOEUPV_femp_disc)^$A93)+C92</f>
        <v>3.8460937026420732</v>
      </c>
      <c r="D93" s="15">
        <f>('DOE Fuel Esc Rates'!D308)/((1+DOEUPV_femp_disc)^$A93)+D92</f>
        <v>3.756669541760767</v>
      </c>
      <c r="E93" s="15">
        <f>('DOE Fuel Esc Rates'!E308)/((1+DOEUPV_femp_disc)^$A93)+E92</f>
        <v>3.6649309419524454</v>
      </c>
      <c r="F93" s="15">
        <f>('DOE Fuel Esc Rates'!F308)/((1+DOEUPV_femp_disc)^$A93)+F92</f>
        <v>3.8510513826711352</v>
      </c>
      <c r="G93"/>
      <c r="H93" s="15">
        <f>('DOE Fuel Esc Rates'!H308)/((1+DOEUPV_femp_disc)^$A93)+H92</f>
        <v>3.7678234689497314</v>
      </c>
      <c r="I93" s="15">
        <f>('DOE Fuel Esc Rates'!I308)/((1+DOEUPV_femp_disc)^$A93)+I92</f>
        <v>3.7713238132004667</v>
      </c>
      <c r="J93" s="15">
        <f>('DOE Fuel Esc Rates'!J308)/((1+DOEUPV_femp_disc)^$A93)+J92</f>
        <v>3.941428049787628</v>
      </c>
      <c r="K93" s="15">
        <f>('DOE Fuel Esc Rates'!K308)/((1+DOEUPV_femp_disc)^$A93)+K92</f>
        <v>3.5661926473823597</v>
      </c>
      <c r="L93" s="15">
        <f>('DOE Fuel Esc Rates'!L308)/((1+DOEUPV_femp_disc)^$A93)+L92</f>
        <v>3.7790512709631083</v>
      </c>
      <c r="N93" s="15">
        <f>('DOE Fuel Esc Rates'!N308)/((1+DOEUPV_femp_disc)^$A93)+N92</f>
        <v>3.7047209672462835</v>
      </c>
      <c r="O93" s="15">
        <f>('DOE Fuel Esc Rates'!O308)/((1+DOEUPV_femp_disc)^$A93)+O92</f>
        <v>3.730220853805704</v>
      </c>
      <c r="P93" s="15">
        <f>('DOE Fuel Esc Rates'!P308)/((1+DOEUPV_femp_disc)^$A93)+P92</f>
        <v>3.9551130875432872</v>
      </c>
      <c r="Q93" s="15">
        <f>('DOE Fuel Esc Rates'!Q308)/((1+DOEUPV_femp_disc)^$A93)+Q92</f>
        <v>3.9000198530531187</v>
      </c>
      <c r="R93" s="15">
        <f>('DOE Fuel Esc Rates'!R308)/((1+DOEUPV_femp_disc)^$A93)+R92</f>
        <v>3.8066531313046195</v>
      </c>
      <c r="T93" s="33">
        <v>4</v>
      </c>
      <c r="U93" s="33"/>
    </row>
    <row r="94" spans="1:24" x14ac:dyDescent="0.2">
      <c r="A94" s="33">
        <v>5</v>
      </c>
      <c r="C94" s="15">
        <f>('DOE Fuel Esc Rates'!C309)/((1+DOEUPV_femp_disc)^$A94)+C93</f>
        <v>4.7547742295838704</v>
      </c>
      <c r="D94" s="15">
        <f>('DOE Fuel Esc Rates'!D309)/((1+DOEUPV_femp_disc)^$A94)+D93</f>
        <v>4.6543298228344758</v>
      </c>
      <c r="E94" s="15">
        <f>('DOE Fuel Esc Rates'!E309)/((1+DOEUPV_femp_disc)^$A94)+E93</f>
        <v>4.577171187998907</v>
      </c>
      <c r="F94" s="15">
        <f>('DOE Fuel Esc Rates'!F309)/((1+DOEUPV_femp_disc)^$A94)+F93</f>
        <v>4.7648131623750087</v>
      </c>
      <c r="G94"/>
      <c r="H94" s="15">
        <f>('DOE Fuel Esc Rates'!H309)/((1+DOEUPV_femp_disc)^$A94)+H93</f>
        <v>4.6532767656322047</v>
      </c>
      <c r="I94" s="15">
        <f>('DOE Fuel Esc Rates'!I309)/((1+DOEUPV_femp_disc)^$A94)+I93</f>
        <v>4.6767817042850988</v>
      </c>
      <c r="J94" s="15">
        <f>('DOE Fuel Esc Rates'!J309)/((1+DOEUPV_femp_disc)^$A94)+J93</f>
        <v>4.9035686169853498</v>
      </c>
      <c r="K94" s="15">
        <f>('DOE Fuel Esc Rates'!K309)/((1+DOEUPV_femp_disc)^$A94)+K93</f>
        <v>4.4468260929327599</v>
      </c>
      <c r="L94" s="15">
        <f>('DOE Fuel Esc Rates'!L309)/((1+DOEUPV_femp_disc)^$A94)+L93</f>
        <v>4.675487850813318</v>
      </c>
      <c r="N94" s="15">
        <f>('DOE Fuel Esc Rates'!N309)/((1+DOEUPV_femp_disc)^$A94)+N93</f>
        <v>4.573152136987142</v>
      </c>
      <c r="O94" s="15">
        <f>('DOE Fuel Esc Rates'!O309)/((1+DOEUPV_femp_disc)^$A94)+O93</f>
        <v>4.6230145685453516</v>
      </c>
      <c r="P94" s="15">
        <f>('DOE Fuel Esc Rates'!P309)/((1+DOEUPV_femp_disc)^$A94)+P93</f>
        <v>4.9207963114174236</v>
      </c>
      <c r="Q94" s="15">
        <f>('DOE Fuel Esc Rates'!Q309)/((1+DOEUPV_femp_disc)^$A94)+Q93</f>
        <v>4.993169960657994</v>
      </c>
      <c r="R94" s="15">
        <f>('DOE Fuel Esc Rates'!R309)/((1+DOEUPV_femp_disc)^$A94)+R93</f>
        <v>4.7090746288142062</v>
      </c>
      <c r="T94" s="33">
        <v>5</v>
      </c>
      <c r="U94" s="33"/>
    </row>
    <row r="95" spans="1:24" x14ac:dyDescent="0.2">
      <c r="A95" s="33">
        <v>6</v>
      </c>
      <c r="C95" s="15">
        <f>('DOE Fuel Esc Rates'!C310)/((1+DOEUPV_femp_disc)^$A95)+C94</f>
        <v>5.652403704460256</v>
      </c>
      <c r="D95" s="15">
        <f>('DOE Fuel Esc Rates'!D310)/((1+DOEUPV_femp_disc)^$A95)+D94</f>
        <v>5.5407849131596913</v>
      </c>
      <c r="E95" s="15">
        <f>('DOE Fuel Esc Rates'!E310)/((1+DOEUPV_femp_disc)^$A95)+E94</f>
        <v>5.4906669817559566</v>
      </c>
      <c r="F95" s="15">
        <f>('DOE Fuel Esc Rates'!F310)/((1+DOEUPV_femp_disc)^$A95)+F94</f>
        <v>5.6558906948703305</v>
      </c>
      <c r="G95"/>
      <c r="H95" s="15">
        <f>('DOE Fuel Esc Rates'!H310)/((1+DOEUPV_femp_disc)^$A95)+H94</f>
        <v>5.5280219744140728</v>
      </c>
      <c r="I95" s="15">
        <f>('DOE Fuel Esc Rates'!I310)/((1+DOEUPV_femp_disc)^$A95)+I94</f>
        <v>5.5714149117509795</v>
      </c>
      <c r="J95" s="15">
        <f>('DOE Fuel Esc Rates'!J310)/((1+DOEUPV_femp_disc)^$A95)+J94</f>
        <v>5.8598754263266848</v>
      </c>
      <c r="K95" s="15">
        <f>('DOE Fuel Esc Rates'!K310)/((1+DOEUPV_femp_disc)^$A95)+K94</f>
        <v>5.3318094567119054</v>
      </c>
      <c r="L95" s="15">
        <f>('DOE Fuel Esc Rates'!L310)/((1+DOEUPV_femp_disc)^$A95)+L94</f>
        <v>5.5585867184274544</v>
      </c>
      <c r="N95" s="15">
        <f>('DOE Fuel Esc Rates'!N310)/((1+DOEUPV_femp_disc)^$A95)+N94</f>
        <v>5.4293341211045441</v>
      </c>
      <c r="O95" s="15">
        <f>('DOE Fuel Esc Rates'!O310)/((1+DOEUPV_femp_disc)^$A95)+O94</f>
        <v>5.5059021116928815</v>
      </c>
      <c r="P95" s="15">
        <f>('DOE Fuel Esc Rates'!P310)/((1+DOEUPV_femp_disc)^$A95)+P94</f>
        <v>5.8810642769199521</v>
      </c>
      <c r="Q95" s="15">
        <f>('DOE Fuel Esc Rates'!Q310)/((1+DOEUPV_femp_disc)^$A95)+Q94</f>
        <v>6.1048417134051167</v>
      </c>
      <c r="R95" s="15">
        <f>('DOE Fuel Esc Rates'!R310)/((1+DOEUPV_femp_disc)^$A95)+R94</f>
        <v>5.5980963782168551</v>
      </c>
      <c r="T95" s="33">
        <v>6</v>
      </c>
      <c r="U95" s="33"/>
    </row>
    <row r="96" spans="1:24" x14ac:dyDescent="0.2">
      <c r="A96" s="33">
        <v>7</v>
      </c>
      <c r="C96" s="15">
        <f>('DOE Fuel Esc Rates'!C311)/((1+DOEUPV_femp_disc)^$A96)+C95</f>
        <v>6.5317398470838466</v>
      </c>
      <c r="D96" s="15">
        <f>('DOE Fuel Esc Rates'!D311)/((1+DOEUPV_femp_disc)^$A96)+D95</f>
        <v>6.4175377023981142</v>
      </c>
      <c r="E96" s="15">
        <f>('DOE Fuel Esc Rates'!E311)/((1+DOEUPV_femp_disc)^$A96)+E95</f>
        <v>6.3900753391171214</v>
      </c>
      <c r="F96" s="15">
        <f>('DOE Fuel Esc Rates'!F311)/((1+DOEUPV_femp_disc)^$A96)+F95</f>
        <v>6.5248302153119262</v>
      </c>
      <c r="G96"/>
      <c r="H96" s="15">
        <f>('DOE Fuel Esc Rates'!H311)/((1+DOEUPV_femp_disc)^$A96)+H95</f>
        <v>6.3847539906035387</v>
      </c>
      <c r="I96" s="15">
        <f>('DOE Fuel Esc Rates'!I311)/((1+DOEUPV_femp_disc)^$A96)+I95</f>
        <v>6.4591656035137177</v>
      </c>
      <c r="J96" s="15">
        <f>('DOE Fuel Esc Rates'!J311)/((1+DOEUPV_femp_disc)^$A96)+J95</f>
        <v>6.8119569396090736</v>
      </c>
      <c r="K96" s="15">
        <f>('DOE Fuel Esc Rates'!K311)/((1+DOEUPV_femp_disc)^$A96)+K95</f>
        <v>6.2039613464911447</v>
      </c>
      <c r="L96" s="15">
        <f>('DOE Fuel Esc Rates'!L311)/((1+DOEUPV_femp_disc)^$A96)+L95</f>
        <v>6.4248214658063212</v>
      </c>
      <c r="N96" s="15">
        <f>('DOE Fuel Esc Rates'!N311)/((1+DOEUPV_femp_disc)^$A96)+N95</f>
        <v>6.2669112542848211</v>
      </c>
      <c r="O96" s="15">
        <f>('DOE Fuel Esc Rates'!O311)/((1+DOEUPV_femp_disc)^$A96)+O95</f>
        <v>6.3839127087127379</v>
      </c>
      <c r="P96" s="15">
        <f>('DOE Fuel Esc Rates'!P311)/((1+DOEUPV_femp_disc)^$A96)+P95</f>
        <v>6.8367913330498098</v>
      </c>
      <c r="Q96" s="15">
        <f>('DOE Fuel Esc Rates'!Q311)/((1+DOEUPV_femp_disc)^$A96)+Q95</f>
        <v>7.2022436195834514</v>
      </c>
      <c r="R96" s="15">
        <f>('DOE Fuel Esc Rates'!R311)/((1+DOEUPV_femp_disc)^$A96)+R95</f>
        <v>6.471648540403689</v>
      </c>
      <c r="T96" s="33">
        <v>7</v>
      </c>
      <c r="U96" s="33"/>
    </row>
    <row r="97" spans="1:21" x14ac:dyDescent="0.2">
      <c r="A97" s="33">
        <v>8</v>
      </c>
      <c r="C97" s="15">
        <f>('DOE Fuel Esc Rates'!C312)/((1+DOEUPV_femp_disc)^$A97)+C96</f>
        <v>7.3930867967758171</v>
      </c>
      <c r="D97" s="15">
        <f>('DOE Fuel Esc Rates'!D312)/((1+DOEUPV_femp_disc)^$A97)+D96</f>
        <v>7.2855749129742406</v>
      </c>
      <c r="E97" s="15">
        <f>('DOE Fuel Esc Rates'!E312)/((1+DOEUPV_femp_disc)^$A97)+E96</f>
        <v>7.2760816515359226</v>
      </c>
      <c r="F97" s="15">
        <f>('DOE Fuel Esc Rates'!F312)/((1+DOEUPV_femp_disc)^$A97)+F96</f>
        <v>7.3738492766197039</v>
      </c>
      <c r="G97"/>
      <c r="H97" s="15">
        <f>('DOE Fuel Esc Rates'!H312)/((1+DOEUPV_femp_disc)^$A97)+H96</f>
        <v>7.2243375406577677</v>
      </c>
      <c r="I97" s="15">
        <f>('DOE Fuel Esc Rates'!I312)/((1+DOEUPV_femp_disc)^$A97)+I96</f>
        <v>7.3388835711059164</v>
      </c>
      <c r="J97" s="15">
        <f>('DOE Fuel Esc Rates'!J312)/((1+DOEUPV_femp_disc)^$A97)+J96</f>
        <v>7.7605974382803495</v>
      </c>
      <c r="K97" s="15">
        <f>('DOE Fuel Esc Rates'!K312)/((1+DOEUPV_femp_disc)^$A97)+K96</f>
        <v>7.0648494268971884</v>
      </c>
      <c r="L97" s="15">
        <f>('DOE Fuel Esc Rates'!L312)/((1+DOEUPV_femp_disc)^$A97)+L96</f>
        <v>7.2692657665648017</v>
      </c>
      <c r="N97" s="15">
        <f>('DOE Fuel Esc Rates'!N312)/((1+DOEUPV_femp_disc)^$A97)+N96</f>
        <v>7.0870607235798291</v>
      </c>
      <c r="O97" s="15">
        <f>('DOE Fuel Esc Rates'!O312)/((1+DOEUPV_femp_disc)^$A97)+O96</f>
        <v>7.2542470887818729</v>
      </c>
      <c r="P97" s="15">
        <f>('DOE Fuel Esc Rates'!P312)/((1+DOEUPV_femp_disc)^$A97)+P96</f>
        <v>7.7887653503622936</v>
      </c>
      <c r="Q97" s="15">
        <f>('DOE Fuel Esc Rates'!Q312)/((1+DOEUPV_femp_disc)^$A97)+Q96</f>
        <v>8.2887801603540794</v>
      </c>
      <c r="R97" s="15">
        <f>('DOE Fuel Esc Rates'!R312)/((1+DOEUPV_femp_disc)^$A97)+R96</f>
        <v>7.3238056882143736</v>
      </c>
      <c r="T97" s="33">
        <v>8</v>
      </c>
      <c r="U97" s="33"/>
    </row>
    <row r="98" spans="1:21" x14ac:dyDescent="0.2">
      <c r="A98" s="33">
        <v>9</v>
      </c>
      <c r="C98" s="15">
        <f>('DOE Fuel Esc Rates'!C313)/((1+DOEUPV_femp_disc)^$A98)+C97</f>
        <v>8.2321211676094563</v>
      </c>
      <c r="D98" s="15">
        <f>('DOE Fuel Esc Rates'!D313)/((1+DOEUPV_femp_disc)^$A98)+D97</f>
        <v>8.1450402575201419</v>
      </c>
      <c r="E98" s="15">
        <f>('DOE Fuel Esc Rates'!E313)/((1+DOEUPV_femp_disc)^$A98)+E97</f>
        <v>8.1499457863880149</v>
      </c>
      <c r="F98" s="15">
        <f>('DOE Fuel Esc Rates'!F313)/((1+DOEUPV_femp_disc)^$A98)+F97</f>
        <v>8.2027172017438907</v>
      </c>
      <c r="G98"/>
      <c r="H98" s="15">
        <f>('DOE Fuel Esc Rates'!H313)/((1+DOEUPV_femp_disc)^$A98)+H97</f>
        <v>8.0410909651680313</v>
      </c>
      <c r="I98" s="15">
        <f>('DOE Fuel Esc Rates'!I313)/((1+DOEUPV_femp_disc)^$A98)+I97</f>
        <v>8.2102836290540644</v>
      </c>
      <c r="J98" s="15">
        <f>('DOE Fuel Esc Rates'!J313)/((1+DOEUPV_femp_disc)^$A98)+J97</f>
        <v>8.7058447415041549</v>
      </c>
      <c r="K98" s="15">
        <f>('DOE Fuel Esc Rates'!K313)/((1+DOEUPV_femp_disc)^$A98)+K97</f>
        <v>7.9143899640422637</v>
      </c>
      <c r="L98" s="15">
        <f>('DOE Fuel Esc Rates'!L313)/((1+DOEUPV_femp_disc)^$A98)+L97</f>
        <v>8.0907843554821532</v>
      </c>
      <c r="N98" s="15">
        <f>('DOE Fuel Esc Rates'!N313)/((1+DOEUPV_femp_disc)^$A98)+N97</f>
        <v>7.8873016626987456</v>
      </c>
      <c r="O98" s="15">
        <f>('DOE Fuel Esc Rates'!O313)/((1+DOEUPV_femp_disc)^$A98)+O97</f>
        <v>8.1158520993663057</v>
      </c>
      <c r="P98" s="15">
        <f>('DOE Fuel Esc Rates'!P313)/((1+DOEUPV_femp_disc)^$A98)+P97</f>
        <v>8.7370436802111886</v>
      </c>
      <c r="Q98" s="15">
        <f>('DOE Fuel Esc Rates'!Q313)/((1+DOEUPV_femp_disc)^$A98)+Q97</f>
        <v>9.3624463622341274</v>
      </c>
      <c r="R98" s="15">
        <f>('DOE Fuel Esc Rates'!R313)/((1+DOEUPV_femp_disc)^$A98)+R97</f>
        <v>8.1531078960323491</v>
      </c>
      <c r="T98" s="33">
        <v>9</v>
      </c>
      <c r="U98" s="33"/>
    </row>
    <row r="99" spans="1:21" x14ac:dyDescent="0.2">
      <c r="A99" s="33">
        <v>10</v>
      </c>
      <c r="C99" s="15">
        <f>('DOE Fuel Esc Rates'!C314)/((1+DOEUPV_femp_disc)^$A99)+C98</f>
        <v>9.0527799663262734</v>
      </c>
      <c r="D99" s="15">
        <f>('DOE Fuel Esc Rates'!D314)/((1+DOEUPV_femp_disc)^$A99)+D98</f>
        <v>8.9960654089481107</v>
      </c>
      <c r="E99" s="15">
        <f>('DOE Fuel Esc Rates'!E314)/((1+DOEUPV_femp_disc)^$A99)+E98</f>
        <v>9.0098144433108107</v>
      </c>
      <c r="F99" s="15">
        <f>('DOE Fuel Esc Rates'!F314)/((1+DOEUPV_femp_disc)^$A99)+F98</f>
        <v>9.0122050357825643</v>
      </c>
      <c r="G99"/>
      <c r="H99" s="15">
        <f>('DOE Fuel Esc Rates'!H314)/((1+DOEUPV_femp_disc)^$A99)+H98</f>
        <v>8.8398358455656467</v>
      </c>
      <c r="I99" s="15">
        <f>('DOE Fuel Esc Rates'!I314)/((1+DOEUPV_femp_disc)^$A99)+I98</f>
        <v>9.0734773727777114</v>
      </c>
      <c r="J99" s="15">
        <f>('DOE Fuel Esc Rates'!J314)/((1+DOEUPV_femp_disc)^$A99)+J98</f>
        <v>9.6477277226683</v>
      </c>
      <c r="K99" s="15">
        <f>('DOE Fuel Esc Rates'!K314)/((1+DOEUPV_femp_disc)^$A99)+K98</f>
        <v>8.7502924813740073</v>
      </c>
      <c r="L99" s="15">
        <f>('DOE Fuel Esc Rates'!L314)/((1+DOEUPV_femp_disc)^$A99)+L98</f>
        <v>8.8916174577893035</v>
      </c>
      <c r="N99" s="15">
        <f>('DOE Fuel Esc Rates'!N314)/((1+DOEUPV_femp_disc)^$A99)+N98</f>
        <v>8.6719614452300267</v>
      </c>
      <c r="O99" s="15">
        <f>('DOE Fuel Esc Rates'!O314)/((1+DOEUPV_femp_disc)^$A99)+O98</f>
        <v>8.9699648286883722</v>
      </c>
      <c r="P99" s="15">
        <f>('DOE Fuel Esc Rates'!P314)/((1+DOEUPV_femp_disc)^$A99)+P98</f>
        <v>9.6810340112284745</v>
      </c>
      <c r="Q99" s="15">
        <f>('DOE Fuel Esc Rates'!Q314)/((1+DOEUPV_femp_disc)^$A99)+Q98</f>
        <v>10.426384654803609</v>
      </c>
      <c r="R99" s="15">
        <f>('DOE Fuel Esc Rates'!R314)/((1+DOEUPV_femp_disc)^$A99)+R98</f>
        <v>8.9620715368431476</v>
      </c>
      <c r="T99" s="33">
        <v>10</v>
      </c>
      <c r="U99" s="33"/>
    </row>
    <row r="100" spans="1:21" x14ac:dyDescent="0.2">
      <c r="A100" s="33">
        <v>11</v>
      </c>
      <c r="C100" s="15">
        <f>('DOE Fuel Esc Rates'!C315)/((1+DOEUPV_femp_disc)^$A100)+C99</f>
        <v>9.854113886898709</v>
      </c>
      <c r="D100" s="15">
        <f>('DOE Fuel Esc Rates'!D315)/((1+DOEUPV_femp_disc)^$A100)+D99</f>
        <v>9.8398448682857129</v>
      </c>
      <c r="E100" s="15">
        <f>('DOE Fuel Esc Rates'!E315)/((1+DOEUPV_femp_disc)^$A100)+E99</f>
        <v>9.8575178537767805</v>
      </c>
      <c r="F100" s="15">
        <f>('DOE Fuel Esc Rates'!F315)/((1+DOEUPV_femp_disc)^$A100)+F99</f>
        <v>9.8036631579266</v>
      </c>
      <c r="G100"/>
      <c r="H100" s="15">
        <f>('DOE Fuel Esc Rates'!H315)/((1+DOEUPV_femp_disc)^$A100)+H99</f>
        <v>9.618887603592702</v>
      </c>
      <c r="I100" s="15">
        <f>('DOE Fuel Esc Rates'!I315)/((1+DOEUPV_femp_disc)^$A100)+I99</f>
        <v>9.9292910376295325</v>
      </c>
      <c r="J100" s="15">
        <f>('DOE Fuel Esc Rates'!J315)/((1+DOEUPV_femp_disc)^$A100)+J99</f>
        <v>10.58687538224669</v>
      </c>
      <c r="K100" s="15">
        <f>('DOE Fuel Esc Rates'!K315)/((1+DOEUPV_femp_disc)^$A100)+K99</f>
        <v>9.5740683848388652</v>
      </c>
      <c r="L100" s="15">
        <f>('DOE Fuel Esc Rates'!L315)/((1+DOEUPV_femp_disc)^$A100)+L99</f>
        <v>9.6722731292337176</v>
      </c>
      <c r="N100" s="15">
        <f>('DOE Fuel Esc Rates'!N315)/((1+DOEUPV_femp_disc)^$A100)+N99</f>
        <v>9.439768482196623</v>
      </c>
      <c r="O100" s="15">
        <f>('DOE Fuel Esc Rates'!O315)/((1+DOEUPV_femp_disc)^$A100)+O99</f>
        <v>9.8166468374374389</v>
      </c>
      <c r="P100" s="15">
        <f>('DOE Fuel Esc Rates'!P315)/((1+DOEUPV_femp_disc)^$A100)+P99</f>
        <v>10.622018335069404</v>
      </c>
      <c r="Q100" s="15">
        <f>('DOE Fuel Esc Rates'!Q315)/((1+DOEUPV_femp_disc)^$A100)+Q99</f>
        <v>11.485077750576405</v>
      </c>
      <c r="R100" s="15">
        <f>('DOE Fuel Esc Rates'!R315)/((1+DOEUPV_femp_disc)^$A100)+R99</f>
        <v>9.7511778543587191</v>
      </c>
      <c r="T100" s="33">
        <v>11</v>
      </c>
      <c r="U100" s="33"/>
    </row>
    <row r="101" spans="1:21" x14ac:dyDescent="0.2">
      <c r="A101" s="33">
        <v>12</v>
      </c>
      <c r="C101" s="15">
        <f>('DOE Fuel Esc Rates'!C316)/((1+DOEUPV_femp_disc)^$A101)+C100</f>
        <v>10.636340814235229</v>
      </c>
      <c r="D101" s="15">
        <f>('DOE Fuel Esc Rates'!D316)/((1+DOEUPV_femp_disc)^$A101)+D100</f>
        <v>10.67607875914017</v>
      </c>
      <c r="E101" s="15">
        <f>('DOE Fuel Esc Rates'!E316)/((1+DOEUPV_femp_disc)^$A101)+E100</f>
        <v>10.686214665220341</v>
      </c>
      <c r="F101" s="15">
        <f>('DOE Fuel Esc Rates'!F316)/((1+DOEUPV_femp_disc)^$A101)+F100</f>
        <v>10.576557454231398</v>
      </c>
      <c r="G101"/>
      <c r="H101" s="15">
        <f>('DOE Fuel Esc Rates'!H316)/((1+DOEUPV_femp_disc)^$A101)+H100</f>
        <v>10.378963469522164</v>
      </c>
      <c r="I101" s="15">
        <f>('DOE Fuel Esc Rates'!I316)/((1+DOEUPV_femp_disc)^$A101)+I100</f>
        <v>10.777774174180088</v>
      </c>
      <c r="J101" s="15">
        <f>('DOE Fuel Esc Rates'!J316)/((1+DOEUPV_femp_disc)^$A101)+J100</f>
        <v>11.522648025820391</v>
      </c>
      <c r="K101" s="15">
        <f>('DOE Fuel Esc Rates'!K316)/((1+DOEUPV_femp_disc)^$A101)+K100</f>
        <v>10.377340267527535</v>
      </c>
      <c r="L101" s="15">
        <f>('DOE Fuel Esc Rates'!L316)/((1+DOEUPV_femp_disc)^$A101)+L100</f>
        <v>10.433247378331977</v>
      </c>
      <c r="N101" s="15">
        <f>('DOE Fuel Esc Rates'!N316)/((1+DOEUPV_femp_disc)^$A101)+N100</f>
        <v>10.190674667533026</v>
      </c>
      <c r="O101" s="15">
        <f>('DOE Fuel Esc Rates'!O316)/((1+DOEUPV_femp_disc)^$A101)+O100</f>
        <v>10.65595208588916</v>
      </c>
      <c r="P101" s="15">
        <f>('DOE Fuel Esc Rates'!P316)/((1+DOEUPV_femp_disc)^$A101)+P100</f>
        <v>11.559965327395261</v>
      </c>
      <c r="Q101" s="15">
        <f>('DOE Fuel Esc Rates'!Q316)/((1+DOEUPV_femp_disc)^$A101)+Q100</f>
        <v>12.517621404936216</v>
      </c>
      <c r="R101" s="15">
        <f>('DOE Fuel Esc Rates'!R316)/((1+DOEUPV_femp_disc)^$A101)+R100</f>
        <v>10.520897312621777</v>
      </c>
      <c r="T101" s="33">
        <v>12</v>
      </c>
      <c r="U101" s="33"/>
    </row>
    <row r="102" spans="1:21" x14ac:dyDescent="0.2">
      <c r="A102" s="33">
        <v>13</v>
      </c>
      <c r="C102" s="15">
        <f>('DOE Fuel Esc Rates'!C317)/((1+DOEUPV_femp_disc)^$A102)+C101</f>
        <v>11.397222773195621</v>
      </c>
      <c r="D102" s="15">
        <f>('DOE Fuel Esc Rates'!D317)/((1+DOEUPV_femp_disc)^$A102)+D101</f>
        <v>11.506178014037701</v>
      </c>
      <c r="E102" s="15">
        <f>('DOE Fuel Esc Rates'!E317)/((1+DOEUPV_femp_disc)^$A102)+E101</f>
        <v>11.492430149604484</v>
      </c>
      <c r="F102" s="15">
        <f>('DOE Fuel Esc Rates'!F317)/((1+DOEUPV_femp_disc)^$A102)+F101</f>
        <v>11.331007381689711</v>
      </c>
      <c r="G102"/>
      <c r="H102" s="15">
        <f>('DOE Fuel Esc Rates'!H317)/((1+DOEUPV_femp_disc)^$A102)+H101</f>
        <v>11.118584345870687</v>
      </c>
      <c r="I102" s="15">
        <f>('DOE Fuel Esc Rates'!I317)/((1+DOEUPV_femp_disc)^$A102)+I101</f>
        <v>11.619652800242903</v>
      </c>
      <c r="J102" s="15">
        <f>('DOE Fuel Esc Rates'!J317)/((1+DOEUPV_femp_disc)^$A102)+J101</f>
        <v>12.455027552887973</v>
      </c>
      <c r="K102" s="15">
        <f>('DOE Fuel Esc Rates'!K317)/((1+DOEUPV_femp_disc)^$A102)+K101</f>
        <v>11.155183191221234</v>
      </c>
      <c r="L102" s="15">
        <f>('DOE Fuel Esc Rates'!L317)/((1+DOEUPV_femp_disc)^$A102)+L101</f>
        <v>11.176507991265707</v>
      </c>
      <c r="N102" s="15">
        <f>('DOE Fuel Esc Rates'!N317)/((1+DOEUPV_femp_disc)^$A102)+N101</f>
        <v>10.921124028086455</v>
      </c>
      <c r="O102" s="15">
        <f>('DOE Fuel Esc Rates'!O317)/((1+DOEUPV_femp_disc)^$A102)+O101</f>
        <v>11.487592017137606</v>
      </c>
      <c r="P102" s="15">
        <f>('DOE Fuel Esc Rates'!P317)/((1+DOEUPV_femp_disc)^$A102)+P101</f>
        <v>12.494253648962172</v>
      </c>
      <c r="Q102" s="15">
        <f>('DOE Fuel Esc Rates'!Q317)/((1+DOEUPV_femp_disc)^$A102)+Q101</f>
        <v>13.509474804391758</v>
      </c>
      <c r="R102" s="15">
        <f>('DOE Fuel Esc Rates'!R317)/((1+DOEUPV_femp_disc)^$A102)+R101</f>
        <v>11.273435844768084</v>
      </c>
      <c r="T102" s="33">
        <v>13</v>
      </c>
      <c r="U102" s="33"/>
    </row>
    <row r="103" spans="1:21" x14ac:dyDescent="0.2">
      <c r="A103" s="33">
        <v>14</v>
      </c>
      <c r="C103" s="15">
        <f>('DOE Fuel Esc Rates'!C318)/((1+DOEUPV_femp_disc)^$A103)+C102</f>
        <v>12.134746167314944</v>
      </c>
      <c r="D103" s="15">
        <f>('DOE Fuel Esc Rates'!D318)/((1+DOEUPV_femp_disc)^$A103)+D102</f>
        <v>12.330118193241777</v>
      </c>
      <c r="E103" s="15">
        <f>('DOE Fuel Esc Rates'!E318)/((1+DOEUPV_femp_disc)^$A103)+E102</f>
        <v>12.278378140800525</v>
      </c>
      <c r="F103" s="15">
        <f>('DOE Fuel Esc Rates'!F318)/((1+DOEUPV_femp_disc)^$A103)+F102</f>
        <v>12.068277835789484</v>
      </c>
      <c r="G103"/>
      <c r="H103" s="15">
        <f>('DOE Fuel Esc Rates'!H318)/((1+DOEUPV_femp_disc)^$A103)+H102</f>
        <v>11.834795302174191</v>
      </c>
      <c r="I103" s="15">
        <f>('DOE Fuel Esc Rates'!I318)/((1+DOEUPV_femp_disc)^$A103)+I102</f>
        <v>12.454591845524121</v>
      </c>
      <c r="J103" s="15">
        <f>('DOE Fuel Esc Rates'!J318)/((1+DOEUPV_femp_disc)^$A103)+J102</f>
        <v>13.384547886709878</v>
      </c>
      <c r="K103" s="15">
        <f>('DOE Fuel Esc Rates'!K318)/((1+DOEUPV_femp_disc)^$A103)+K102</f>
        <v>11.910370495778224</v>
      </c>
      <c r="L103" s="15">
        <f>('DOE Fuel Esc Rates'!L318)/((1+DOEUPV_femp_disc)^$A103)+L102</f>
        <v>11.90388161204654</v>
      </c>
      <c r="N103" s="15">
        <f>('DOE Fuel Esc Rates'!N318)/((1+DOEUPV_femp_disc)^$A103)+N102</f>
        <v>11.629611645536938</v>
      </c>
      <c r="O103" s="15">
        <f>('DOE Fuel Esc Rates'!O318)/((1+DOEUPV_femp_disc)^$A103)+O102</f>
        <v>12.311952810001632</v>
      </c>
      <c r="P103" s="15">
        <f>('DOE Fuel Esc Rates'!P318)/((1+DOEUPV_femp_disc)^$A103)+P102</f>
        <v>13.424861001050923</v>
      </c>
      <c r="Q103" s="15">
        <f>('DOE Fuel Esc Rates'!Q318)/((1+DOEUPV_femp_disc)^$A103)+Q102</f>
        <v>14.468022001692249</v>
      </c>
      <c r="R103" s="15">
        <f>('DOE Fuel Esc Rates'!R318)/((1+DOEUPV_femp_disc)^$A103)+R102</f>
        <v>12.009141300473932</v>
      </c>
      <c r="T103" s="33">
        <v>14</v>
      </c>
      <c r="U103" s="33"/>
    </row>
    <row r="104" spans="1:21" x14ac:dyDescent="0.2">
      <c r="A104" s="33">
        <v>15</v>
      </c>
      <c r="C104" s="15">
        <f>('DOE Fuel Esc Rates'!C319)/((1+DOEUPV_femp_disc)^$A104)+C103</f>
        <v>12.850788297527878</v>
      </c>
      <c r="D104" s="15">
        <f>('DOE Fuel Esc Rates'!D319)/((1+DOEUPV_femp_disc)^$A104)+D103</f>
        <v>13.148190011232042</v>
      </c>
      <c r="E104" s="15">
        <f>('DOE Fuel Esc Rates'!E319)/((1+DOEUPV_femp_disc)^$A104)+E103</f>
        <v>13.038313558261306</v>
      </c>
      <c r="F104" s="15">
        <f>('DOE Fuel Esc Rates'!F319)/((1+DOEUPV_femp_disc)^$A104)+F103</f>
        <v>12.788455703389044</v>
      </c>
      <c r="G104"/>
      <c r="H104" s="15">
        <f>('DOE Fuel Esc Rates'!H319)/((1+DOEUPV_femp_disc)^$A104)+H103</f>
        <v>12.529012514347972</v>
      </c>
      <c r="I104" s="15">
        <f>('DOE Fuel Esc Rates'!I319)/((1+DOEUPV_femp_disc)^$A104)+I103</f>
        <v>13.282603419411206</v>
      </c>
      <c r="J104" s="15">
        <f>('DOE Fuel Esc Rates'!J319)/((1+DOEUPV_femp_disc)^$A104)+J103</f>
        <v>14.311681810727359</v>
      </c>
      <c r="K104" s="15">
        <f>('DOE Fuel Esc Rates'!K319)/((1+DOEUPV_femp_disc)^$A104)+K103</f>
        <v>12.636536698952421</v>
      </c>
      <c r="L104" s="15">
        <f>('DOE Fuel Esc Rates'!L319)/((1+DOEUPV_femp_disc)^$A104)+L103</f>
        <v>12.61426476951393</v>
      </c>
      <c r="N104" s="15">
        <f>('DOE Fuel Esc Rates'!N319)/((1+DOEUPV_femp_disc)^$A104)+N103</f>
        <v>12.317463701314106</v>
      </c>
      <c r="O104" s="15">
        <f>('DOE Fuel Esc Rates'!O319)/((1+DOEUPV_femp_disc)^$A104)+O103</f>
        <v>13.128752981602581</v>
      </c>
      <c r="P104" s="15">
        <f>('DOE Fuel Esc Rates'!P319)/((1+DOEUPV_femp_disc)^$A104)+P103</f>
        <v>14.35284107076177</v>
      </c>
      <c r="Q104" s="15">
        <f>('DOE Fuel Esc Rates'!Q319)/((1+DOEUPV_femp_disc)^$A104)+Q103</f>
        <v>15.394361738692412</v>
      </c>
      <c r="R104" s="15">
        <f>('DOE Fuel Esc Rates'!R319)/((1+DOEUPV_femp_disc)^$A104)+R103</f>
        <v>12.728355841531279</v>
      </c>
      <c r="T104" s="33">
        <v>15</v>
      </c>
      <c r="U104" s="33"/>
    </row>
    <row r="105" spans="1:21" x14ac:dyDescent="0.2">
      <c r="A105" s="33">
        <v>16</v>
      </c>
      <c r="C105" s="15">
        <f>('DOE Fuel Esc Rates'!C320)/((1+DOEUPV_femp_disc)^$A105)+C104</f>
        <v>13.548043279612424</v>
      </c>
      <c r="D105" s="15">
        <f>('DOE Fuel Esc Rates'!D320)/((1+DOEUPV_femp_disc)^$A105)+D104</f>
        <v>13.960345140146265</v>
      </c>
      <c r="E105" s="15">
        <f>('DOE Fuel Esc Rates'!E320)/((1+DOEUPV_femp_disc)^$A105)+E104</f>
        <v>13.787224879868623</v>
      </c>
      <c r="F105" s="15">
        <f>('DOE Fuel Esc Rates'!F320)/((1+DOEUPV_femp_disc)^$A105)+F104</f>
        <v>13.492974640647279</v>
      </c>
      <c r="G105"/>
      <c r="H105" s="15">
        <f>('DOE Fuel Esc Rates'!H320)/((1+DOEUPV_femp_disc)^$A105)+H104</f>
        <v>13.2043300766596</v>
      </c>
      <c r="I105" s="15">
        <f>('DOE Fuel Esc Rates'!I320)/((1+DOEUPV_femp_disc)^$A105)+I104</f>
        <v>14.104320788337679</v>
      </c>
      <c r="J105" s="15">
        <f>('DOE Fuel Esc Rates'!J320)/((1+DOEUPV_femp_disc)^$A105)+J104</f>
        <v>15.237377657192793</v>
      </c>
      <c r="K105" s="15">
        <f>('DOE Fuel Esc Rates'!K320)/((1+DOEUPV_femp_disc)^$A105)+K104</f>
        <v>13.352093562494721</v>
      </c>
      <c r="L105" s="15">
        <f>('DOE Fuel Esc Rates'!L320)/((1+DOEUPV_femp_disc)^$A105)+L104</f>
        <v>13.309387804112403</v>
      </c>
      <c r="N105" s="15">
        <f>('DOE Fuel Esc Rates'!N320)/((1+DOEUPV_femp_disc)^$A105)+N104</f>
        <v>12.988516781242723</v>
      </c>
      <c r="O105" s="15">
        <f>('DOE Fuel Esc Rates'!O320)/((1+DOEUPV_femp_disc)^$A105)+O104</f>
        <v>13.939269271697151</v>
      </c>
      <c r="P105" s="15">
        <f>('DOE Fuel Esc Rates'!P320)/((1+DOEUPV_femp_disc)^$A105)+P104</f>
        <v>15.279141758382178</v>
      </c>
      <c r="Q105" s="15">
        <f>('DOE Fuel Esc Rates'!Q320)/((1+DOEUPV_femp_disc)^$A105)+Q104</f>
        <v>16.315927100924384</v>
      </c>
      <c r="R105" s="15">
        <f>('DOE Fuel Esc Rates'!R320)/((1+DOEUPV_femp_disc)^$A105)+R104</f>
        <v>13.433013842034024</v>
      </c>
      <c r="T105" s="33">
        <v>16</v>
      </c>
      <c r="U105" s="33"/>
    </row>
    <row r="106" spans="1:21" x14ac:dyDescent="0.2">
      <c r="A106" s="33">
        <v>17</v>
      </c>
      <c r="C106" s="15">
        <f>('DOE Fuel Esc Rates'!C321)/((1+DOEUPV_femp_disc)^$A106)+C105</f>
        <v>14.229006267844468</v>
      </c>
      <c r="D106" s="15">
        <f>('DOE Fuel Esc Rates'!D321)/((1+DOEUPV_femp_disc)^$A106)+D105</f>
        <v>14.765934431516383</v>
      </c>
      <c r="E106" s="15">
        <f>('DOE Fuel Esc Rates'!E321)/((1+DOEUPV_femp_disc)^$A106)+E105</f>
        <v>14.52510960514932</v>
      </c>
      <c r="F106" s="15">
        <f>('DOE Fuel Esc Rates'!F321)/((1+DOEUPV_femp_disc)^$A106)+F105</f>
        <v>14.183426429313988</v>
      </c>
      <c r="G106"/>
      <c r="H106" s="15">
        <f>('DOE Fuel Esc Rates'!H321)/((1+DOEUPV_femp_disc)^$A106)+H105</f>
        <v>13.863182731668525</v>
      </c>
      <c r="I106" s="15">
        <f>('DOE Fuel Esc Rates'!I321)/((1+DOEUPV_femp_disc)^$A106)+I105</f>
        <v>14.919711743450101</v>
      </c>
      <c r="J106" s="15">
        <f>('DOE Fuel Esc Rates'!J321)/((1+DOEUPV_femp_disc)^$A106)+J105</f>
        <v>16.16093267623447</v>
      </c>
      <c r="K106" s="15">
        <f>('DOE Fuel Esc Rates'!K321)/((1+DOEUPV_femp_disc)^$A106)+K105</f>
        <v>14.057043073026291</v>
      </c>
      <c r="L106" s="15">
        <f>('DOE Fuel Esc Rates'!L321)/((1+DOEUPV_femp_disc)^$A106)+L105</f>
        <v>13.986900773969074</v>
      </c>
      <c r="N106" s="15">
        <f>('DOE Fuel Esc Rates'!N321)/((1+DOEUPV_femp_disc)^$A106)+N105</f>
        <v>13.645364854067966</v>
      </c>
      <c r="O106" s="15">
        <f>('DOE Fuel Esc Rates'!O321)/((1+DOEUPV_femp_disc)^$A106)+O105</f>
        <v>14.743472994931922</v>
      </c>
      <c r="P106" s="15">
        <f>('DOE Fuel Esc Rates'!P321)/((1+DOEUPV_femp_disc)^$A106)+P105</f>
        <v>16.203073652799361</v>
      </c>
      <c r="Q106" s="15">
        <f>('DOE Fuel Esc Rates'!Q321)/((1+DOEUPV_femp_disc)^$A106)+Q105</f>
        <v>17.233557835045296</v>
      </c>
      <c r="R106" s="15">
        <f>('DOE Fuel Esc Rates'!R321)/((1+DOEUPV_femp_disc)^$A106)+R105</f>
        <v>14.121801795764995</v>
      </c>
      <c r="T106" s="33">
        <v>17</v>
      </c>
      <c r="U106" s="33"/>
    </row>
    <row r="107" spans="1:21" x14ac:dyDescent="0.2">
      <c r="A107" s="33">
        <v>18</v>
      </c>
      <c r="C107" s="15">
        <f>('DOE Fuel Esc Rates'!C322)/((1+DOEUPV_femp_disc)^$A107)+C106</f>
        <v>14.894566542919646</v>
      </c>
      <c r="D107" s="15">
        <f>('DOE Fuel Esc Rates'!D322)/((1+DOEUPV_femp_disc)^$A107)+D106</f>
        <v>15.565815691045394</v>
      </c>
      <c r="E107" s="15">
        <f>('DOE Fuel Esc Rates'!E322)/((1+DOEUPV_femp_disc)^$A107)+E106</f>
        <v>15.253878765814253</v>
      </c>
      <c r="F107" s="15">
        <f>('DOE Fuel Esc Rates'!F322)/((1+DOEUPV_femp_disc)^$A107)+F106</f>
        <v>14.859281061029481</v>
      </c>
      <c r="G107"/>
      <c r="H107" s="15">
        <f>('DOE Fuel Esc Rates'!H322)/((1+DOEUPV_femp_disc)^$A107)+H106</f>
        <v>14.507201183874937</v>
      </c>
      <c r="I107" s="15">
        <f>('DOE Fuel Esc Rates'!I322)/((1+DOEUPV_femp_disc)^$A107)+I106</f>
        <v>15.729921365295139</v>
      </c>
      <c r="J107" s="15">
        <f>('DOE Fuel Esc Rates'!J322)/((1+DOEUPV_femp_disc)^$A107)+J106</f>
        <v>17.080682181493469</v>
      </c>
      <c r="K107" s="15">
        <f>('DOE Fuel Esc Rates'!K322)/((1+DOEUPV_femp_disc)^$A107)+K106</f>
        <v>14.75256504622368</v>
      </c>
      <c r="L107" s="15">
        <f>('DOE Fuel Esc Rates'!L322)/((1+DOEUPV_femp_disc)^$A107)+L106</f>
        <v>14.649799263610108</v>
      </c>
      <c r="N107" s="15">
        <f>('DOE Fuel Esc Rates'!N322)/((1+DOEUPV_femp_disc)^$A107)+N106</f>
        <v>14.288876080480403</v>
      </c>
      <c r="O107" s="15">
        <f>('DOE Fuel Esc Rates'!O322)/((1+DOEUPV_femp_disc)^$A107)+O106</f>
        <v>15.542781280603958</v>
      </c>
      <c r="P107" s="15">
        <f>('DOE Fuel Esc Rates'!P322)/((1+DOEUPV_femp_disc)^$A107)+P106</f>
        <v>17.122993343371302</v>
      </c>
      <c r="Q107" s="15">
        <f>('DOE Fuel Esc Rates'!Q322)/((1+DOEUPV_femp_disc)^$A107)+Q106</f>
        <v>18.146701345326289</v>
      </c>
      <c r="R107" s="15">
        <f>('DOE Fuel Esc Rates'!R322)/((1+DOEUPV_femp_disc)^$A107)+R106</f>
        <v>14.795046384494427</v>
      </c>
      <c r="T107" s="33">
        <v>18</v>
      </c>
      <c r="U107" s="33"/>
    </row>
    <row r="108" spans="1:21" x14ac:dyDescent="0.2">
      <c r="A108" s="33">
        <v>19</v>
      </c>
      <c r="C108" s="15">
        <f>('DOE Fuel Esc Rates'!C323)/((1+DOEUPV_femp_disc)^$A108)+C107</f>
        <v>15.544355329051761</v>
      </c>
      <c r="D108" s="15">
        <f>('DOE Fuel Esc Rates'!D323)/((1+DOEUPV_femp_disc)^$A108)+D107</f>
        <v>16.360203214022757</v>
      </c>
      <c r="E108" s="15">
        <f>('DOE Fuel Esc Rates'!E323)/((1+DOEUPV_femp_disc)^$A108)+E107</f>
        <v>15.97158881414401</v>
      </c>
      <c r="F108" s="15">
        <f>('DOE Fuel Esc Rates'!F323)/((1+DOEUPV_femp_disc)^$A108)+F107</f>
        <v>15.52055982420133</v>
      </c>
      <c r="G108"/>
      <c r="H108" s="15">
        <f>('DOE Fuel Esc Rates'!H323)/((1+DOEUPV_femp_disc)^$A108)+H107</f>
        <v>15.135885144223394</v>
      </c>
      <c r="I108" s="15">
        <f>('DOE Fuel Esc Rates'!I323)/((1+DOEUPV_femp_disc)^$A108)+I107</f>
        <v>16.534559753350901</v>
      </c>
      <c r="J108" s="15">
        <f>('DOE Fuel Esc Rates'!J323)/((1+DOEUPV_femp_disc)^$A108)+J107</f>
        <v>17.99850148789249</v>
      </c>
      <c r="K108" s="15">
        <f>('DOE Fuel Esc Rates'!K323)/((1+DOEUPV_femp_disc)^$A108)+K107</f>
        <v>15.43690827839799</v>
      </c>
      <c r="L108" s="15">
        <f>('DOE Fuel Esc Rates'!L323)/((1+DOEUPV_femp_disc)^$A108)+L107</f>
        <v>15.295874936686799</v>
      </c>
      <c r="N108" s="15">
        <f>('DOE Fuel Esc Rates'!N323)/((1+DOEUPV_femp_disc)^$A108)+N107</f>
        <v>14.918381840086919</v>
      </c>
      <c r="O108" s="15">
        <f>('DOE Fuel Esc Rates'!O323)/((1+DOEUPV_femp_disc)^$A108)+O107</f>
        <v>16.336515997073587</v>
      </c>
      <c r="P108" s="15">
        <f>('DOE Fuel Esc Rates'!P323)/((1+DOEUPV_femp_disc)^$A108)+P107</f>
        <v>18.040767211944054</v>
      </c>
      <c r="Q108" s="15">
        <f>('DOE Fuel Esc Rates'!Q323)/((1+DOEUPV_femp_disc)^$A108)+Q107</f>
        <v>19.054840563968888</v>
      </c>
      <c r="R108" s="15">
        <f>('DOE Fuel Esc Rates'!R323)/((1+DOEUPV_femp_disc)^$A108)+R107</f>
        <v>15.45160645125995</v>
      </c>
      <c r="T108" s="33">
        <v>19</v>
      </c>
      <c r="U108" s="33"/>
    </row>
    <row r="109" spans="1:21" x14ac:dyDescent="0.2">
      <c r="A109" s="33">
        <v>20</v>
      </c>
      <c r="C109" s="15">
        <f>('DOE Fuel Esc Rates'!C324)/((1+DOEUPV_femp_disc)^$A109)+C108</f>
        <v>16.178726734798747</v>
      </c>
      <c r="D109" s="15">
        <f>('DOE Fuel Esc Rates'!D324)/((1+DOEUPV_femp_disc)^$A109)+D108</f>
        <v>17.14901282417425</v>
      </c>
      <c r="E109" s="15">
        <f>('DOE Fuel Esc Rates'!E324)/((1+DOEUPV_femp_disc)^$A109)+E108</f>
        <v>16.676470993906353</v>
      </c>
      <c r="F109" s="15">
        <f>('DOE Fuel Esc Rates'!F324)/((1+DOEUPV_femp_disc)^$A109)+F108</f>
        <v>16.167774656313341</v>
      </c>
      <c r="G109"/>
      <c r="H109" s="15">
        <f>('DOE Fuel Esc Rates'!H324)/((1+DOEUPV_femp_disc)^$A109)+H108</f>
        <v>15.749581539841651</v>
      </c>
      <c r="I109" s="15">
        <f>('DOE Fuel Esc Rates'!I324)/((1+DOEUPV_femp_disc)^$A109)+I108</f>
        <v>17.333541925473281</v>
      </c>
      <c r="J109" s="15">
        <f>('DOE Fuel Esc Rates'!J324)/((1+DOEUPV_femp_disc)^$A109)+J108</f>
        <v>18.914196004431428</v>
      </c>
      <c r="K109" s="15">
        <f>('DOE Fuel Esc Rates'!K324)/((1+DOEUPV_femp_disc)^$A109)+K108</f>
        <v>16.107379316054477</v>
      </c>
      <c r="L109" s="15">
        <f>('DOE Fuel Esc Rates'!L324)/((1+DOEUPV_femp_disc)^$A109)+L108</f>
        <v>15.925545402232043</v>
      </c>
      <c r="N109" s="15">
        <f>('DOE Fuel Esc Rates'!N324)/((1+DOEUPV_femp_disc)^$A109)+N108</f>
        <v>15.534439545809306</v>
      </c>
      <c r="O109" s="15">
        <f>('DOE Fuel Esc Rates'!O324)/((1+DOEUPV_femp_disc)^$A109)+O108</f>
        <v>17.124869498228996</v>
      </c>
      <c r="P109" s="15">
        <f>('DOE Fuel Esc Rates'!P324)/((1+DOEUPV_femp_disc)^$A109)+P108</f>
        <v>18.956678290055684</v>
      </c>
      <c r="Q109" s="15">
        <f>('DOE Fuel Esc Rates'!Q324)/((1+DOEUPV_femp_disc)^$A109)+Q108</f>
        <v>19.951326696025603</v>
      </c>
      <c r="R109" s="15">
        <f>('DOE Fuel Esc Rates'!R324)/((1+DOEUPV_femp_disc)^$A109)+R108</f>
        <v>16.091882772126713</v>
      </c>
      <c r="T109" s="33">
        <v>20</v>
      </c>
      <c r="U109" s="33"/>
    </row>
    <row r="110" spans="1:21" x14ac:dyDescent="0.2">
      <c r="A110" s="33">
        <v>21</v>
      </c>
      <c r="C110" s="15">
        <f>('DOE Fuel Esc Rates'!C325)/((1+DOEUPV_femp_disc)^$A110)+C109</f>
        <v>16.797216592686876</v>
      </c>
      <c r="D110" s="15">
        <f>('DOE Fuel Esc Rates'!D325)/((1+DOEUPV_femp_disc)^$A110)+D109</f>
        <v>17.93216191791689</v>
      </c>
      <c r="E110" s="15">
        <f>('DOE Fuel Esc Rates'!E325)/((1+DOEUPV_femp_disc)^$A110)+E109</f>
        <v>17.374326698935786</v>
      </c>
      <c r="F110" s="15">
        <f>('DOE Fuel Esc Rates'!F325)/((1+DOEUPV_femp_disc)^$A110)+F109</f>
        <v>16.800954498798376</v>
      </c>
      <c r="G110"/>
      <c r="H110" s="15">
        <f>('DOE Fuel Esc Rates'!H325)/((1+DOEUPV_femp_disc)^$A110)+H109</f>
        <v>16.34825047212173</v>
      </c>
      <c r="I110" s="15">
        <f>('DOE Fuel Esc Rates'!I325)/((1+DOEUPV_femp_disc)^$A110)+I109</f>
        <v>18.126784484654692</v>
      </c>
      <c r="J110" s="15">
        <f>('DOE Fuel Esc Rates'!J325)/((1+DOEUPV_femp_disc)^$A110)+J109</f>
        <v>19.827570329651273</v>
      </c>
      <c r="K110" s="15">
        <f>('DOE Fuel Esc Rates'!K325)/((1+DOEUPV_femp_disc)^$A110)+K109</f>
        <v>16.771159068694423</v>
      </c>
      <c r="L110" s="15">
        <f>('DOE Fuel Esc Rates'!L325)/((1+DOEUPV_femp_disc)^$A110)+L109</f>
        <v>16.540389345265286</v>
      </c>
      <c r="N110" s="15">
        <f>('DOE Fuel Esc Rates'!N325)/((1+DOEUPV_femp_disc)^$A110)+N109</f>
        <v>16.137019445439456</v>
      </c>
      <c r="O110" s="15">
        <f>('DOE Fuel Esc Rates'!O325)/((1+DOEUPV_femp_disc)^$A110)+O109</f>
        <v>17.907746832044314</v>
      </c>
      <c r="P110" s="15">
        <f>('DOE Fuel Esc Rates'!P325)/((1+DOEUPV_femp_disc)^$A110)+P109</f>
        <v>19.869600958633448</v>
      </c>
      <c r="Q110" s="15">
        <f>('DOE Fuel Esc Rates'!Q325)/((1+DOEUPV_femp_disc)^$A110)+Q109</f>
        <v>20.840857012284921</v>
      </c>
      <c r="R110" s="15">
        <f>('DOE Fuel Esc Rates'!R325)/((1+DOEUPV_femp_disc)^$A110)+R109</f>
        <v>16.717645262543929</v>
      </c>
      <c r="T110" s="33">
        <v>21</v>
      </c>
      <c r="U110" s="33"/>
    </row>
    <row r="111" spans="1:21" x14ac:dyDescent="0.2">
      <c r="A111" s="33">
        <v>22</v>
      </c>
      <c r="C111" s="15">
        <f>('DOE Fuel Esc Rates'!C326)/((1+DOEUPV_femp_disc)^$A111)+C110</f>
        <v>17.400999286828046</v>
      </c>
      <c r="D111" s="15">
        <f>('DOE Fuel Esc Rates'!D326)/((1+DOEUPV_femp_disc)^$A111)+D110</f>
        <v>18.710086914277056</v>
      </c>
      <c r="E111" s="15">
        <f>('DOE Fuel Esc Rates'!E326)/((1+DOEUPV_femp_disc)^$A111)+E110</f>
        <v>18.069196536010409</v>
      </c>
      <c r="F111" s="15">
        <f>('DOE Fuel Esc Rates'!F326)/((1+DOEUPV_femp_disc)^$A111)+F110</f>
        <v>17.420145217635607</v>
      </c>
      <c r="G111"/>
      <c r="H111" s="15">
        <f>('DOE Fuel Esc Rates'!H326)/((1+DOEUPV_femp_disc)^$A111)+H110</f>
        <v>16.932983842637423</v>
      </c>
      <c r="I111" s="15">
        <f>('DOE Fuel Esc Rates'!I326)/((1+DOEUPV_femp_disc)^$A111)+I110</f>
        <v>18.914991422766374</v>
      </c>
      <c r="J111" s="15">
        <f>('DOE Fuel Esc Rates'!J326)/((1+DOEUPV_femp_disc)^$A111)+J110</f>
        <v>20.737536741446551</v>
      </c>
      <c r="K111" s="15">
        <f>('DOE Fuel Esc Rates'!K326)/((1+DOEUPV_femp_disc)^$A111)+K110</f>
        <v>17.4322229031457</v>
      </c>
      <c r="L111" s="15">
        <f>('DOE Fuel Esc Rates'!L326)/((1+DOEUPV_femp_disc)^$A111)+L110</f>
        <v>17.143010315783304</v>
      </c>
      <c r="N111" s="15">
        <f>('DOE Fuel Esc Rates'!N326)/((1+DOEUPV_femp_disc)^$A111)+N110</f>
        <v>16.727467918660199</v>
      </c>
      <c r="O111" s="15">
        <f>('DOE Fuel Esc Rates'!O326)/((1+DOEUPV_femp_disc)^$A111)+O110</f>
        <v>18.685312642871349</v>
      </c>
      <c r="P111" s="15">
        <f>('DOE Fuel Esc Rates'!P326)/((1+DOEUPV_femp_disc)^$A111)+P110</f>
        <v>20.7793745809347</v>
      </c>
      <c r="Q111" s="15">
        <f>('DOE Fuel Esc Rates'!Q326)/((1+DOEUPV_femp_disc)^$A111)+Q110</f>
        <v>21.724238528255444</v>
      </c>
      <c r="R111" s="15">
        <f>('DOE Fuel Esc Rates'!R326)/((1+DOEUPV_femp_disc)^$A111)+R110</f>
        <v>17.330534404606041</v>
      </c>
      <c r="T111" s="33">
        <v>22</v>
      </c>
      <c r="U111" s="33"/>
    </row>
    <row r="112" spans="1:21" x14ac:dyDescent="0.2">
      <c r="A112" s="33">
        <v>23</v>
      </c>
      <c r="C112" s="15">
        <f>('DOE Fuel Esc Rates'!C327)/((1+DOEUPV_femp_disc)^$A112)+C111</f>
        <v>17.992700272471655</v>
      </c>
      <c r="D112" s="15">
        <f>('DOE Fuel Esc Rates'!D327)/((1+DOEUPV_femp_disc)^$A112)+D111</f>
        <v>19.483683186284928</v>
      </c>
      <c r="E112" s="15">
        <f>('DOE Fuel Esc Rates'!E327)/((1+DOEUPV_femp_disc)^$A112)+E111</f>
        <v>18.761073032042852</v>
      </c>
      <c r="F112" s="15">
        <f>('DOE Fuel Esc Rates'!F327)/((1+DOEUPV_femp_disc)^$A112)+F111</f>
        <v>18.025840729197043</v>
      </c>
      <c r="G112"/>
      <c r="H112" s="15">
        <f>('DOE Fuel Esc Rates'!H327)/((1+DOEUPV_femp_disc)^$A112)+H111</f>
        <v>17.506411474599702</v>
      </c>
      <c r="I112" s="15">
        <f>('DOE Fuel Esc Rates'!I327)/((1+DOEUPV_femp_disc)^$A112)+I111</f>
        <v>19.699054318981716</v>
      </c>
      <c r="J112" s="15">
        <f>('DOE Fuel Esc Rates'!J327)/((1+DOEUPV_femp_disc)^$A112)+J111</f>
        <v>21.645251189915474</v>
      </c>
      <c r="K112" s="15">
        <f>('DOE Fuel Esc Rates'!K327)/((1+DOEUPV_femp_disc)^$A112)+K111</f>
        <v>18.089661748869403</v>
      </c>
      <c r="L112" s="15">
        <f>('DOE Fuel Esc Rates'!L327)/((1+DOEUPV_femp_disc)^$A112)+L111</f>
        <v>17.733598737155607</v>
      </c>
      <c r="N112" s="15">
        <f>('DOE Fuel Esc Rates'!N327)/((1+DOEUPV_femp_disc)^$A112)+N111</f>
        <v>17.307822018886526</v>
      </c>
      <c r="O112" s="15">
        <f>('DOE Fuel Esc Rates'!O327)/((1+DOEUPV_femp_disc)^$A112)+O111</f>
        <v>19.458960270587067</v>
      </c>
      <c r="P112" s="15">
        <f>('DOE Fuel Esc Rates'!P327)/((1+DOEUPV_femp_disc)^$A112)+P111</f>
        <v>21.686696330453298</v>
      </c>
      <c r="Q112" s="15">
        <f>('DOE Fuel Esc Rates'!Q327)/((1+DOEUPV_femp_disc)^$A112)+Q111</f>
        <v>22.601074805604828</v>
      </c>
      <c r="R112" s="15">
        <f>('DOE Fuel Esc Rates'!R327)/((1+DOEUPV_femp_disc)^$A112)+R111</f>
        <v>17.930769245053526</v>
      </c>
      <c r="T112" s="33">
        <v>23</v>
      </c>
      <c r="U112" s="33"/>
    </row>
    <row r="113" spans="1:24" x14ac:dyDescent="0.2">
      <c r="A113" s="33">
        <v>24</v>
      </c>
      <c r="C113" s="15">
        <f>('DOE Fuel Esc Rates'!C328)/((1+DOEUPV_femp_disc)^$A113)+C112</f>
        <v>18.573401774149435</v>
      </c>
      <c r="D113" s="15">
        <f>('DOE Fuel Esc Rates'!D328)/((1+DOEUPV_femp_disc)^$A113)+D112</f>
        <v>20.252542950613378</v>
      </c>
      <c r="E113" s="15">
        <f>('DOE Fuel Esc Rates'!E328)/((1+DOEUPV_femp_disc)^$A113)+E112</f>
        <v>19.450737022210884</v>
      </c>
      <c r="F113" s="15">
        <f>('DOE Fuel Esc Rates'!F328)/((1+DOEUPV_femp_disc)^$A113)+F112</f>
        <v>18.619561096135811</v>
      </c>
      <c r="G113"/>
      <c r="H113" s="15">
        <f>('DOE Fuel Esc Rates'!H328)/((1+DOEUPV_femp_disc)^$A113)+H112</f>
        <v>18.070085547488723</v>
      </c>
      <c r="I113" s="15">
        <f>('DOE Fuel Esc Rates'!I328)/((1+DOEUPV_femp_disc)^$A113)+I112</f>
        <v>20.478299078451776</v>
      </c>
      <c r="J113" s="15">
        <f>('DOE Fuel Esc Rates'!J328)/((1+DOEUPV_femp_disc)^$A113)+J112</f>
        <v>22.563107041564319</v>
      </c>
      <c r="K113" s="15">
        <f>('DOE Fuel Esc Rates'!K328)/((1+DOEUPV_femp_disc)^$A113)+K112</f>
        <v>18.745083911017268</v>
      </c>
      <c r="L113" s="15">
        <f>('DOE Fuel Esc Rates'!L328)/((1+DOEUPV_femp_disc)^$A113)+L112</f>
        <v>18.312344309319734</v>
      </c>
      <c r="N113" s="15">
        <f>('DOE Fuel Esc Rates'!N328)/((1+DOEUPV_femp_disc)^$A113)+N112</f>
        <v>17.880212207431097</v>
      </c>
      <c r="O113" s="15">
        <f>('DOE Fuel Esc Rates'!O328)/((1+DOEUPV_femp_disc)^$A113)+O112</f>
        <v>20.228015870226752</v>
      </c>
      <c r="P113" s="15">
        <f>('DOE Fuel Esc Rates'!P328)/((1+DOEUPV_femp_disc)^$A113)+P112</f>
        <v>22.603444030631756</v>
      </c>
      <c r="Q113" s="15">
        <f>('DOE Fuel Esc Rates'!Q328)/((1+DOEUPV_femp_disc)^$A113)+Q112</f>
        <v>23.484145165269961</v>
      </c>
      <c r="R113" s="15">
        <f>('DOE Fuel Esc Rates'!R328)/((1+DOEUPV_femp_disc)^$A113)+R112</f>
        <v>18.518566991551502</v>
      </c>
      <c r="T113" s="33">
        <v>24</v>
      </c>
      <c r="U113" s="33"/>
    </row>
    <row r="114" spans="1:24" x14ac:dyDescent="0.2">
      <c r="A114" s="33">
        <v>25</v>
      </c>
      <c r="C114" s="15">
        <f>('DOE Fuel Esc Rates'!C329)/((1+DOEUPV_femp_disc)^$A114)+C113</f>
        <v>19.14526022280069</v>
      </c>
      <c r="D114" s="15">
        <f>('DOE Fuel Esc Rates'!D329)/((1+DOEUPV_femp_disc)^$A114)+D113</f>
        <v>21.015575832327745</v>
      </c>
      <c r="E114" s="15">
        <f>('DOE Fuel Esc Rates'!E329)/((1+DOEUPV_femp_disc)^$A114)+E113</f>
        <v>20.144310101722144</v>
      </c>
      <c r="F114" s="15">
        <f>('DOE Fuel Esc Rates'!F329)/((1+DOEUPV_femp_disc)^$A114)+F113</f>
        <v>19.201897579476178</v>
      </c>
      <c r="G114"/>
      <c r="H114" s="15">
        <f>('DOE Fuel Esc Rates'!H329)/((1+DOEUPV_femp_disc)^$A114)+H113</f>
        <v>18.625774230651565</v>
      </c>
      <c r="I114" s="15">
        <f>('DOE Fuel Esc Rates'!I329)/((1+DOEUPV_femp_disc)^$A114)+I113</f>
        <v>21.25162229571589</v>
      </c>
      <c r="J114" s="15">
        <f>('DOE Fuel Esc Rates'!J329)/((1+DOEUPV_femp_disc)^$A114)+J113</f>
        <v>23.499132315339519</v>
      </c>
      <c r="K114" s="15">
        <f>('DOE Fuel Esc Rates'!K329)/((1+DOEUPV_femp_disc)^$A114)+K113</f>
        <v>19.407553725495628</v>
      </c>
      <c r="L114" s="15">
        <f>('DOE Fuel Esc Rates'!L329)/((1+DOEUPV_femp_disc)^$A114)+L113</f>
        <v>18.878395354370589</v>
      </c>
      <c r="N114" s="15">
        <f>('DOE Fuel Esc Rates'!N329)/((1+DOEUPV_femp_disc)^$A114)+N113</f>
        <v>18.446097933835617</v>
      </c>
      <c r="O114" s="15">
        <f>('DOE Fuel Esc Rates'!O329)/((1+DOEUPV_femp_disc)^$A114)+O113</f>
        <v>20.99114906665174</v>
      </c>
      <c r="P114" s="15">
        <f>('DOE Fuel Esc Rates'!P329)/((1+DOEUPV_femp_disc)^$A114)+P113</f>
        <v>23.538012894551393</v>
      </c>
      <c r="Q114" s="15">
        <f>('DOE Fuel Esc Rates'!Q329)/((1+DOEUPV_femp_disc)^$A114)+Q113</f>
        <v>24.391489375916276</v>
      </c>
      <c r="R114" s="15">
        <f>('DOE Fuel Esc Rates'!R329)/((1+DOEUPV_femp_disc)^$A114)+R113</f>
        <v>19.094142933995041</v>
      </c>
      <c r="T114" s="33">
        <v>25</v>
      </c>
      <c r="U114" s="33"/>
    </row>
    <row r="115" spans="1:24" x14ac:dyDescent="0.2">
      <c r="A115" s="33">
        <v>26</v>
      </c>
      <c r="C115" s="15">
        <f>('DOE Fuel Esc Rates'!C330)/((1+DOEUPV_femp_disc)^$A115)+C114</f>
        <v>19.705079958612838</v>
      </c>
      <c r="D115" s="15">
        <f>('DOE Fuel Esc Rates'!D330)/((1+DOEUPV_femp_disc)^$A115)+D114</f>
        <v>21.772469009821517</v>
      </c>
      <c r="E115" s="15">
        <f>('DOE Fuel Esc Rates'!E330)/((1+DOEUPV_femp_disc)^$A115)+E114</f>
        <v>20.828579225438123</v>
      </c>
      <c r="F115" s="15">
        <f>('DOE Fuel Esc Rates'!F330)/((1+DOEUPV_femp_disc)^$A115)+F114</f>
        <v>19.771822711622224</v>
      </c>
      <c r="G115"/>
      <c r="H115" s="15">
        <f>('DOE Fuel Esc Rates'!H330)/((1+DOEUPV_femp_disc)^$A115)+H114</f>
        <v>19.170026092941676</v>
      </c>
      <c r="I115" s="15">
        <f>('DOE Fuel Esc Rates'!I330)/((1+DOEUPV_femp_disc)^$A115)+I114</f>
        <v>22.018707853349984</v>
      </c>
      <c r="J115" s="15">
        <f>('DOE Fuel Esc Rates'!J330)/((1+DOEUPV_femp_disc)^$A115)+J114</f>
        <v>24.440392980011698</v>
      </c>
      <c r="K115" s="15">
        <f>('DOE Fuel Esc Rates'!K330)/((1+DOEUPV_femp_disc)^$A115)+K114</f>
        <v>20.063185772948479</v>
      </c>
      <c r="L115" s="15">
        <f>('DOE Fuel Esc Rates'!L330)/((1+DOEUPV_femp_disc)^$A115)+L114</f>
        <v>19.432000388436602</v>
      </c>
      <c r="N115" s="15">
        <f>('DOE Fuel Esc Rates'!N330)/((1+DOEUPV_femp_disc)^$A115)+N114</f>
        <v>19.001761189769194</v>
      </c>
      <c r="O115" s="15">
        <f>('DOE Fuel Esc Rates'!O330)/((1+DOEUPV_femp_disc)^$A115)+O114</f>
        <v>21.748052436428146</v>
      </c>
      <c r="P115" s="15">
        <f>('DOE Fuel Esc Rates'!P330)/((1+DOEUPV_femp_disc)^$A115)+P114</f>
        <v>24.477584160064499</v>
      </c>
      <c r="Q115" s="15">
        <f>('DOE Fuel Esc Rates'!Q330)/((1+DOEUPV_femp_disc)^$A115)+Q114</f>
        <v>25.297191549554512</v>
      </c>
      <c r="R115" s="15">
        <f>('DOE Fuel Esc Rates'!R330)/((1+DOEUPV_femp_disc)^$A115)+R114</f>
        <v>19.656521411119176</v>
      </c>
      <c r="T115" s="33">
        <v>26</v>
      </c>
      <c r="U115" s="33"/>
    </row>
    <row r="116" spans="1:24" x14ac:dyDescent="0.2">
      <c r="A116" s="33">
        <v>27</v>
      </c>
      <c r="C116" s="15">
        <f>('DOE Fuel Esc Rates'!C331)/((1+DOEUPV_femp_disc)^$A116)+C115</f>
        <v>20.251854535998564</v>
      </c>
      <c r="D116" s="15">
        <f>('DOE Fuel Esc Rates'!D331)/((1+DOEUPV_femp_disc)^$A116)+D115</f>
        <v>22.522932827262185</v>
      </c>
      <c r="E116" s="15">
        <f>('DOE Fuel Esc Rates'!E331)/((1+DOEUPV_femp_disc)^$A116)+E115</f>
        <v>21.498755315747111</v>
      </c>
      <c r="F116" s="15">
        <f>('DOE Fuel Esc Rates'!F331)/((1+DOEUPV_femp_disc)^$A116)+F115</f>
        <v>20.328989286185291</v>
      </c>
      <c r="G116"/>
      <c r="H116" s="15">
        <f>('DOE Fuel Esc Rates'!H331)/((1+DOEUPV_femp_disc)^$A116)+H115</f>
        <v>19.701605260484033</v>
      </c>
      <c r="I116" s="15">
        <f>('DOE Fuel Esc Rates'!I331)/((1+DOEUPV_femp_disc)^$A116)+I115</f>
        <v>22.779488957122354</v>
      </c>
      <c r="J116" s="15">
        <f>('DOE Fuel Esc Rates'!J331)/((1+DOEUPV_femp_disc)^$A116)+J115</f>
        <v>25.381172673470452</v>
      </c>
      <c r="K116" s="15">
        <f>('DOE Fuel Esc Rates'!K331)/((1+DOEUPV_femp_disc)^$A116)+K115</f>
        <v>20.706440980987598</v>
      </c>
      <c r="L116" s="15">
        <f>('DOE Fuel Esc Rates'!L331)/((1+DOEUPV_femp_disc)^$A116)+L115</f>
        <v>19.97242341616386</v>
      </c>
      <c r="N116" s="15">
        <f>('DOE Fuel Esc Rates'!N331)/((1+DOEUPV_femp_disc)^$A116)+N115</f>
        <v>19.546148682436868</v>
      </c>
      <c r="O116" s="15">
        <f>('DOE Fuel Esc Rates'!O331)/((1+DOEUPV_femp_disc)^$A116)+O115</f>
        <v>22.498663365779954</v>
      </c>
      <c r="P116" s="15">
        <f>('DOE Fuel Esc Rates'!P331)/((1+DOEUPV_femp_disc)^$A116)+P115</f>
        <v>25.416495402639914</v>
      </c>
      <c r="Q116" s="15">
        <f>('DOE Fuel Esc Rates'!Q331)/((1+DOEUPV_femp_disc)^$A116)+Q115</f>
        <v>26.191553771698967</v>
      </c>
      <c r="R116" s="15">
        <f>('DOE Fuel Esc Rates'!R331)/((1+DOEUPV_femp_disc)^$A116)+R115</f>
        <v>20.207137256247794</v>
      </c>
      <c r="T116" s="33">
        <v>27</v>
      </c>
      <c r="U116" s="33"/>
    </row>
    <row r="117" spans="1:24" x14ac:dyDescent="0.2">
      <c r="A117" s="33">
        <v>28</v>
      </c>
      <c r="C117" s="15">
        <f>('DOE Fuel Esc Rates'!C332)/((1+DOEUPV_femp_disc)^$A117)+C116</f>
        <v>20.786000839661877</v>
      </c>
      <c r="D117" s="15">
        <f>('DOE Fuel Esc Rates'!D332)/((1+DOEUPV_femp_disc)^$A117)+D116</f>
        <v>23.26734947773134</v>
      </c>
      <c r="E117" s="15">
        <f>('DOE Fuel Esc Rates'!E332)/((1+DOEUPV_femp_disc)^$A117)+E116</f>
        <v>22.154724640602563</v>
      </c>
      <c r="F117" s="15">
        <f>('DOE Fuel Esc Rates'!F332)/((1+DOEUPV_femp_disc)^$A117)+F116</f>
        <v>20.873657031923692</v>
      </c>
      <c r="G117"/>
      <c r="H117" s="15">
        <f>('DOE Fuel Esc Rates'!H332)/((1+DOEUPV_femp_disc)^$A117)+H116</f>
        <v>20.220788239885625</v>
      </c>
      <c r="I117" s="15">
        <f>('DOE Fuel Esc Rates'!I332)/((1+DOEUPV_femp_disc)^$A117)+I116</f>
        <v>23.534120722129597</v>
      </c>
      <c r="J117" s="15">
        <f>('DOE Fuel Esc Rates'!J332)/((1+DOEUPV_femp_disc)^$A117)+J116</f>
        <v>26.321821617473127</v>
      </c>
      <c r="K117" s="15">
        <f>('DOE Fuel Esc Rates'!K332)/((1+DOEUPV_femp_disc)^$A117)+K116</f>
        <v>21.337919036314421</v>
      </c>
      <c r="L117" s="15">
        <f>('DOE Fuel Esc Rates'!L332)/((1+DOEUPV_femp_disc)^$A117)+L116</f>
        <v>20.499962678160408</v>
      </c>
      <c r="N117" s="15">
        <f>('DOE Fuel Esc Rates'!N332)/((1+DOEUPV_femp_disc)^$A117)+N116</f>
        <v>20.079218928126032</v>
      </c>
      <c r="O117" s="15">
        <f>('DOE Fuel Esc Rates'!O332)/((1+DOEUPV_femp_disc)^$A117)+O116</f>
        <v>23.243137125739043</v>
      </c>
      <c r="P117" s="15">
        <f>('DOE Fuel Esc Rates'!P332)/((1+DOEUPV_femp_disc)^$A117)+P116</f>
        <v>26.355099209871998</v>
      </c>
      <c r="Q117" s="15">
        <f>('DOE Fuel Esc Rates'!Q332)/((1+DOEUPV_femp_disc)^$A117)+Q116</f>
        <v>27.075441726885483</v>
      </c>
      <c r="R117" s="15">
        <f>('DOE Fuel Esc Rates'!R332)/((1+DOEUPV_femp_disc)^$A117)+R116</f>
        <v>20.74507787553447</v>
      </c>
      <c r="T117" s="33">
        <v>28</v>
      </c>
      <c r="U117" s="33"/>
    </row>
    <row r="118" spans="1:24" x14ac:dyDescent="0.2">
      <c r="A118" s="33">
        <v>29</v>
      </c>
      <c r="C118" s="15">
        <f>('DOE Fuel Esc Rates'!C333)/((1+DOEUPV_femp_disc)^$A118)+C117</f>
        <v>21.307662601887536</v>
      </c>
      <c r="D118" s="15">
        <f>('DOE Fuel Esc Rates'!D333)/((1+DOEUPV_femp_disc)^$A118)+D117</f>
        <v>24.005644858326068</v>
      </c>
      <c r="E118" s="15">
        <f>('DOE Fuel Esc Rates'!E333)/((1+DOEUPV_femp_disc)^$A118)+E117</f>
        <v>22.797090122595257</v>
      </c>
      <c r="F118" s="15">
        <f>('DOE Fuel Esc Rates'!F333)/((1+DOEUPV_femp_disc)^$A118)+F117</f>
        <v>21.406262406450431</v>
      </c>
      <c r="G118"/>
      <c r="H118" s="15">
        <f>('DOE Fuel Esc Rates'!H333)/((1+DOEUPV_femp_disc)^$A118)+H117</f>
        <v>20.72799602109685</v>
      </c>
      <c r="I118" s="15">
        <f>('DOE Fuel Esc Rates'!I333)/((1+DOEUPV_femp_disc)^$A118)+I117</f>
        <v>24.282528882435351</v>
      </c>
      <c r="J118" s="15">
        <f>('DOE Fuel Esc Rates'!J333)/((1+DOEUPV_femp_disc)^$A118)+J117</f>
        <v>27.261912020110039</v>
      </c>
      <c r="K118" s="15">
        <f>('DOE Fuel Esc Rates'!K333)/((1+DOEUPV_femp_disc)^$A118)+K117</f>
        <v>21.9577602899049</v>
      </c>
      <c r="L118" s="15">
        <f>('DOE Fuel Esc Rates'!L333)/((1+DOEUPV_femp_disc)^$A118)+L117</f>
        <v>21.015834726448364</v>
      </c>
      <c r="N118" s="15">
        <f>('DOE Fuel Esc Rates'!N333)/((1+DOEUPV_femp_disc)^$A118)+N117</f>
        <v>20.601389685475088</v>
      </c>
      <c r="O118" s="15">
        <f>('DOE Fuel Esc Rates'!O333)/((1+DOEUPV_femp_disc)^$A118)+O117</f>
        <v>23.981403591448203</v>
      </c>
      <c r="P118" s="15">
        <f>('DOE Fuel Esc Rates'!P333)/((1+DOEUPV_femp_disc)^$A118)+P117</f>
        <v>27.292976593670311</v>
      </c>
      <c r="Q118" s="15">
        <f>('DOE Fuel Esc Rates'!Q333)/((1+DOEUPV_femp_disc)^$A118)+Q117</f>
        <v>27.948706846632653</v>
      </c>
      <c r="R118" s="15">
        <f>('DOE Fuel Esc Rates'!R333)/((1+DOEUPV_femp_disc)^$A118)+R117</f>
        <v>21.270614524230801</v>
      </c>
      <c r="T118" s="33">
        <v>29</v>
      </c>
      <c r="U118" s="33"/>
    </row>
    <row r="119" spans="1:24" x14ac:dyDescent="0.2">
      <c r="A119" s="33">
        <v>30</v>
      </c>
      <c r="C119" s="15">
        <f>('DOE Fuel Esc Rates'!C334)/((1+DOEUPV_femp_disc)^$A119)+C118</f>
        <v>21.817238258874774</v>
      </c>
      <c r="D119" s="15">
        <f>('DOE Fuel Esc Rates'!D334)/((1+DOEUPV_femp_disc)^$A119)+D118</f>
        <v>24.738156500121448</v>
      </c>
      <c r="E119" s="15">
        <f>('DOE Fuel Esc Rates'!E334)/((1+DOEUPV_femp_disc)^$A119)+E118</f>
        <v>23.426421598841191</v>
      </c>
      <c r="F119" s="15">
        <f>('DOE Fuel Esc Rates'!F334)/((1+DOEUPV_femp_disc)^$A119)+F118</f>
        <v>21.926870248466692</v>
      </c>
      <c r="G119"/>
      <c r="H119" s="15">
        <f>('DOE Fuel Esc Rates'!H334)/((1+DOEUPV_femp_disc)^$A119)+H118</f>
        <v>21.223340271150402</v>
      </c>
      <c r="I119" s="15">
        <f>('DOE Fuel Esc Rates'!I334)/((1+DOEUPV_femp_disc)^$A119)+I118</f>
        <v>25.025055947252781</v>
      </c>
      <c r="J119" s="15">
        <f>('DOE Fuel Esc Rates'!J334)/((1+DOEUPV_femp_disc)^$A119)+J118</f>
        <v>28.201734807415985</v>
      </c>
      <c r="K119" s="15">
        <f>('DOE Fuel Esc Rates'!K334)/((1+DOEUPV_femp_disc)^$A119)+K118</f>
        <v>22.566516845010494</v>
      </c>
      <c r="L119" s="15">
        <f>('DOE Fuel Esc Rates'!L334)/((1+DOEUPV_femp_disc)^$A119)+L118</f>
        <v>21.519374099190028</v>
      </c>
      <c r="N119" s="15">
        <f>('DOE Fuel Esc Rates'!N334)/((1+DOEUPV_femp_disc)^$A119)+N118</f>
        <v>21.112629745310507</v>
      </c>
      <c r="O119" s="15">
        <f>('DOE Fuel Esc Rates'!O334)/((1+DOEUPV_femp_disc)^$A119)+O118</f>
        <v>24.713801936235722</v>
      </c>
      <c r="P119" s="15">
        <f>('DOE Fuel Esc Rates'!P334)/((1+DOEUPV_femp_disc)^$A119)+P118</f>
        <v>28.230421042229811</v>
      </c>
      <c r="Q119" s="15">
        <f>('DOE Fuel Esc Rates'!Q334)/((1+DOEUPV_femp_disc)^$A119)+Q118</f>
        <v>28.811218102634776</v>
      </c>
      <c r="R119" s="15">
        <f>('DOE Fuel Esc Rates'!R334)/((1+DOEUPV_femp_disc)^$A119)+R118</f>
        <v>21.785069785472459</v>
      </c>
      <c r="T119" s="33">
        <v>30</v>
      </c>
      <c r="U119" s="33"/>
    </row>
    <row r="120" spans="1:24" ht="1.5" customHeight="1" x14ac:dyDescent="0.2">
      <c r="G120"/>
      <c r="H120"/>
      <c r="I120"/>
      <c r="J120"/>
      <c r="K120"/>
      <c r="L120"/>
      <c r="N120"/>
      <c r="O120"/>
      <c r="P120"/>
      <c r="Q120"/>
      <c r="R120"/>
    </row>
    <row r="121" spans="1:24" ht="21" x14ac:dyDescent="0.4">
      <c r="A121" s="17" t="s">
        <v>107</v>
      </c>
      <c r="B121" s="34"/>
      <c r="C121" s="26"/>
      <c r="D121" s="7"/>
      <c r="E121" s="7"/>
      <c r="F121" s="7"/>
      <c r="G121" s="7"/>
      <c r="H121" s="7"/>
      <c r="I121" s="7"/>
      <c r="J121" s="7"/>
      <c r="K121" s="7"/>
      <c r="L121" s="7"/>
      <c r="M121" s="4"/>
      <c r="N121" s="4"/>
      <c r="O121" s="4"/>
      <c r="P121" s="4"/>
      <c r="Q121" s="4"/>
      <c r="R121" s="4"/>
      <c r="S121" s="34"/>
      <c r="T121" s="4"/>
      <c r="U121" s="17"/>
    </row>
    <row r="122" spans="1:24" ht="18.75" x14ac:dyDescent="0.3">
      <c r="A122" s="18" t="s">
        <v>108</v>
      </c>
      <c r="B122" s="35"/>
      <c r="C122" s="26"/>
      <c r="D122" s="7"/>
      <c r="E122" s="7"/>
      <c r="F122" s="7"/>
      <c r="G122" s="7"/>
      <c r="H122" s="7"/>
      <c r="I122" s="7"/>
      <c r="J122" s="7"/>
      <c r="K122" s="7"/>
      <c r="L122" s="7"/>
      <c r="M122" s="4"/>
      <c r="N122" s="4"/>
      <c r="O122" s="4"/>
      <c r="P122" s="4"/>
      <c r="Q122" s="4"/>
      <c r="R122" s="4"/>
      <c r="S122" s="35"/>
      <c r="T122" s="4"/>
      <c r="U122" s="18"/>
    </row>
    <row r="123" spans="1:24" ht="18.75" x14ac:dyDescent="0.3">
      <c r="A123" s="18"/>
      <c r="B123" s="35"/>
      <c r="C123" s="26"/>
      <c r="D123" s="7"/>
      <c r="E123" s="7"/>
      <c r="F123" s="7"/>
      <c r="G123" s="7"/>
      <c r="H123" s="7"/>
      <c r="I123"/>
      <c r="J123"/>
      <c r="K123"/>
      <c r="L123"/>
      <c r="M123" s="28" t="str">
        <f>$M$3</f>
        <v>DOE discount rate (2015 data) =</v>
      </c>
      <c r="N123" s="39">
        <f>'General Data'!M10</f>
        <v>0.03</v>
      </c>
      <c r="O123" s="4"/>
      <c r="P123" s="4"/>
      <c r="Q123" s="4"/>
      <c r="R123" s="4"/>
      <c r="S123" s="35"/>
      <c r="T123" s="4"/>
      <c r="U123" s="18"/>
      <c r="X123" s="1"/>
    </row>
    <row r="124" spans="1:24" ht="4.5" customHeight="1" x14ac:dyDescent="0.3">
      <c r="A124" s="18"/>
      <c r="B124" s="35"/>
      <c r="C124" s="26"/>
      <c r="D124" s="7"/>
      <c r="E124" s="7"/>
      <c r="F124" s="7"/>
      <c r="G124" s="7"/>
      <c r="H124" s="7"/>
      <c r="I124"/>
      <c r="J124"/>
      <c r="K124" s="28"/>
      <c r="L124" s="36"/>
      <c r="M124" s="4"/>
      <c r="N124" s="4"/>
      <c r="O124" s="4"/>
      <c r="P124" s="4"/>
      <c r="Q124" s="4"/>
      <c r="R124" s="4"/>
      <c r="S124" s="35"/>
      <c r="T124" s="4"/>
      <c r="U124" s="18"/>
      <c r="X124" s="1"/>
    </row>
    <row r="125" spans="1:24" ht="15.75" customHeight="1" x14ac:dyDescent="0.25">
      <c r="A125" s="31" t="s">
        <v>118</v>
      </c>
      <c r="B125" s="4"/>
      <c r="C125" s="4"/>
      <c r="D125" s="4"/>
      <c r="E125" s="4"/>
      <c r="F125" s="4"/>
      <c r="G125" s="4"/>
      <c r="H125" s="4"/>
      <c r="I125" s="4"/>
      <c r="J125" s="4"/>
      <c r="K125" s="4"/>
      <c r="L125" s="4"/>
      <c r="M125" s="4"/>
      <c r="N125" s="4"/>
      <c r="O125" s="4"/>
      <c r="P125" s="4"/>
      <c r="Q125" s="4"/>
      <c r="R125" s="4"/>
      <c r="S125" s="4"/>
      <c r="T125" s="31"/>
      <c r="U125"/>
    </row>
    <row r="126" spans="1:24" ht="15" x14ac:dyDescent="0.2">
      <c r="A126" s="37" t="s">
        <v>189</v>
      </c>
      <c r="B126" s="4"/>
      <c r="C126" s="4"/>
      <c r="D126" s="4"/>
      <c r="E126" s="4"/>
      <c r="F126" s="4"/>
      <c r="G126" s="4"/>
      <c r="H126" s="4"/>
      <c r="I126" s="4"/>
      <c r="J126" s="4"/>
      <c r="K126" s="4"/>
      <c r="L126" s="4"/>
      <c r="M126" s="4"/>
      <c r="N126" s="4"/>
      <c r="O126" s="4"/>
      <c r="P126" s="4"/>
      <c r="Q126" s="4"/>
      <c r="R126" s="4"/>
      <c r="S126" s="4"/>
      <c r="T126" s="4"/>
      <c r="U126"/>
    </row>
    <row r="127" spans="1:24" ht="4.5" customHeight="1" x14ac:dyDescent="0.2">
      <c r="D127" s="4"/>
      <c r="E127" s="4"/>
      <c r="F127" s="4"/>
      <c r="G127" s="12"/>
      <c r="H127" s="12"/>
      <c r="I127" s="12"/>
      <c r="J127" s="12"/>
      <c r="K127" s="12"/>
      <c r="L127" s="12"/>
      <c r="N127" s="12"/>
      <c r="O127" s="12"/>
      <c r="P127" s="12"/>
      <c r="Q127" s="12"/>
      <c r="R127" s="12"/>
    </row>
    <row r="128" spans="1:24" x14ac:dyDescent="0.2">
      <c r="A128"/>
      <c r="C128" s="29" t="s">
        <v>111</v>
      </c>
      <c r="D128" s="4"/>
      <c r="E128" s="4"/>
      <c r="F128" s="4"/>
      <c r="G128" s="12"/>
      <c r="H128" s="29" t="s">
        <v>112</v>
      </c>
      <c r="I128" s="4"/>
      <c r="J128" s="4"/>
      <c r="K128" s="4"/>
      <c r="L128" s="4"/>
      <c r="N128" s="29" t="s">
        <v>113</v>
      </c>
      <c r="O128" s="4"/>
      <c r="P128" s="4"/>
      <c r="Q128" s="4"/>
      <c r="R128" s="4"/>
      <c r="T128"/>
    </row>
    <row r="129" spans="1:21" x14ac:dyDescent="0.2">
      <c r="A129" s="1" t="s">
        <v>114</v>
      </c>
      <c r="C129" s="32" t="str">
        <f>'DOE Fuel Esc Rates'!C156</f>
        <v>Electric</v>
      </c>
      <c r="D129" s="32" t="str">
        <f>'DOE Fuel Esc Rates'!D156</f>
        <v>Dist</v>
      </c>
      <c r="E129" s="32" t="str">
        <f>'DOE Fuel Esc Rates'!E156</f>
        <v>Nat Gas</v>
      </c>
      <c r="F129" s="32" t="str">
        <f>'DOE Fuel Esc Rates'!F156</f>
        <v>LPG</v>
      </c>
      <c r="G129" s="12"/>
      <c r="H129" s="32" t="str">
        <f>'DOE Fuel Esc Rates'!H156</f>
        <v>Electric</v>
      </c>
      <c r="I129" s="32" t="str">
        <f>'DOE Fuel Esc Rates'!I156</f>
        <v>Dist</v>
      </c>
      <c r="J129" s="32" t="str">
        <f>'DOE Fuel Esc Rates'!J156</f>
        <v>Resid</v>
      </c>
      <c r="K129" s="32" t="str">
        <f>'DOE Fuel Esc Rates'!K156</f>
        <v>Nat Gas</v>
      </c>
      <c r="L129" s="32" t="str">
        <f>'DOE Fuel Esc Rates'!L156</f>
        <v>Coal</v>
      </c>
      <c r="N129" s="32" t="str">
        <f>'DOE Fuel Esc Rates'!N156</f>
        <v>Electric</v>
      </c>
      <c r="O129" s="32" t="str">
        <f>'DOE Fuel Esc Rates'!O156</f>
        <v>Dist</v>
      </c>
      <c r="P129" s="32" t="str">
        <f>'DOE Fuel Esc Rates'!P156</f>
        <v>Resid</v>
      </c>
      <c r="Q129" s="32" t="str">
        <f>'DOE Fuel Esc Rates'!Q156</f>
        <v>Nat Gas</v>
      </c>
      <c r="R129" s="32" t="str">
        <f>'DOE Fuel Esc Rates'!R156</f>
        <v>Coal</v>
      </c>
      <c r="T129" s="1" t="s">
        <v>114</v>
      </c>
    </row>
    <row r="130" spans="1:21" x14ac:dyDescent="0.2">
      <c r="A130" s="33">
        <v>1</v>
      </c>
      <c r="C130" s="15">
        <f>('DOE Fuel Esc Rates'!C342)/((1+DOEUPV_femp_disc)^$A130)</f>
        <v>1.0033739585485093</v>
      </c>
      <c r="D130" s="15">
        <f>('DOE Fuel Esc Rates'!D342)/((1+DOEUPV_femp_disc)^$A130)</f>
        <v>0.95541848734773016</v>
      </c>
      <c r="E130" s="15">
        <f>('DOE Fuel Esc Rates'!E342)/((1+DOEUPV_femp_disc)^$A130)</f>
        <v>0.94266658174174933</v>
      </c>
      <c r="F130" s="15">
        <f>('DOE Fuel Esc Rates'!F342)/((1+DOEUPV_femp_disc)^$A130)</f>
        <v>0.98085594871772608</v>
      </c>
      <c r="G130"/>
      <c r="H130" s="15">
        <f>('DOE Fuel Esc Rates'!H342)/((1+DOEUPV_femp_disc)^$A130)</f>
        <v>0.99785101823722155</v>
      </c>
      <c r="I130" s="15">
        <f>('DOE Fuel Esc Rates'!I342)/((1+DOEUPV_femp_disc)^$A130)</f>
        <v>0.95459680971256777</v>
      </c>
      <c r="J130" s="15">
        <f>('DOE Fuel Esc Rates'!J342)/((1+DOEUPV_femp_disc)^$A130)</f>
        <v>0.97880738221089481</v>
      </c>
      <c r="K130" s="15">
        <f>('DOE Fuel Esc Rates'!K342)/((1+DOEUPV_femp_disc)^$A130)</f>
        <v>0.98290037610425962</v>
      </c>
      <c r="L130" s="15">
        <f>('DOE Fuel Esc Rates'!L342)/((1+DOEUPV_femp_disc)^$A130)</f>
        <v>0.99266397114011096</v>
      </c>
      <c r="N130" s="15">
        <f>('DOE Fuel Esc Rates'!N342)/((1+DOEUPV_femp_disc)^$A130)</f>
        <v>0.98996668289562861</v>
      </c>
      <c r="O130" s="15">
        <f>('DOE Fuel Esc Rates'!O342)/((1+DOEUPV_femp_disc)^$A130)</f>
        <v>0.95512988716872205</v>
      </c>
      <c r="P130" s="15">
        <f>('DOE Fuel Esc Rates'!P342)/((1+DOEUPV_femp_disc)^$A130)</f>
        <v>0.9798633585041352</v>
      </c>
      <c r="Q130" s="15">
        <f>('DOE Fuel Esc Rates'!Q342)/((1+DOEUPV_femp_disc)^$A130)</f>
        <v>0.95960639236821843</v>
      </c>
      <c r="R130" s="15">
        <f>('DOE Fuel Esc Rates'!R342)/((1+DOEUPV_femp_disc)^$A130)</f>
        <v>0.99793647034944688</v>
      </c>
      <c r="T130" s="33">
        <v>1</v>
      </c>
      <c r="U130" s="33"/>
    </row>
    <row r="131" spans="1:21" x14ac:dyDescent="0.2">
      <c r="A131" s="33">
        <v>2</v>
      </c>
      <c r="C131" s="15">
        <f>('DOE Fuel Esc Rates'!C343)/((1+DOEUPV_femp_disc)^$A131)+C130</f>
        <v>1.9946372309339924</v>
      </c>
      <c r="D131" s="15">
        <f>('DOE Fuel Esc Rates'!D343)/((1+DOEUPV_femp_disc)^$A131)+D130</f>
        <v>1.9016520073223289</v>
      </c>
      <c r="E131" s="15">
        <f>('DOE Fuel Esc Rates'!E343)/((1+DOEUPV_femp_disc)^$A131)+E130</f>
        <v>1.8569934476774903</v>
      </c>
      <c r="F131" s="15">
        <f>('DOE Fuel Esc Rates'!F343)/((1+DOEUPV_femp_disc)^$A131)+F130</f>
        <v>1.9596893402768281</v>
      </c>
      <c r="G131"/>
      <c r="H131" s="15">
        <f>('DOE Fuel Esc Rates'!H343)/((1+DOEUPV_femp_disc)^$A131)+H130</f>
        <v>1.9800317887270822</v>
      </c>
      <c r="I131" s="15">
        <f>('DOE Fuel Esc Rates'!I343)/((1+DOEUPV_femp_disc)^$A131)+I130</f>
        <v>1.9208970538393308</v>
      </c>
      <c r="J131" s="15">
        <f>('DOE Fuel Esc Rates'!J343)/((1+DOEUPV_femp_disc)^$A131)+J130</f>
        <v>2.0205732388837472</v>
      </c>
      <c r="K131" s="15">
        <f>('DOE Fuel Esc Rates'!K343)/((1+DOEUPV_femp_disc)^$A131)+K130</f>
        <v>1.9382340677938756</v>
      </c>
      <c r="L131" s="15">
        <f>('DOE Fuel Esc Rates'!L343)/((1+DOEUPV_femp_disc)^$A131)+L130</f>
        <v>1.972869692109626</v>
      </c>
      <c r="N131" s="15">
        <f>('DOE Fuel Esc Rates'!N343)/((1+DOEUPV_femp_disc)^$A131)+N130</f>
        <v>1.9543433234597107</v>
      </c>
      <c r="O131" s="15">
        <f>('DOE Fuel Esc Rates'!O343)/((1+DOEUPV_femp_disc)^$A131)+O130</f>
        <v>1.8930938753730722</v>
      </c>
      <c r="P131" s="15">
        <f>('DOE Fuel Esc Rates'!P343)/((1+DOEUPV_femp_disc)^$A131)+P130</f>
        <v>2.0233131509196904</v>
      </c>
      <c r="Q131" s="15">
        <f>('DOE Fuel Esc Rates'!Q343)/((1+DOEUPV_femp_disc)^$A131)+Q130</f>
        <v>1.9404895628014096</v>
      </c>
      <c r="R131" s="15">
        <f>('DOE Fuel Esc Rates'!R343)/((1+DOEUPV_femp_disc)^$A131)+R130</f>
        <v>1.9733754425192207</v>
      </c>
      <c r="T131" s="33">
        <v>2</v>
      </c>
      <c r="U131" s="33"/>
    </row>
    <row r="132" spans="1:21" x14ac:dyDescent="0.2">
      <c r="A132" s="33">
        <v>3</v>
      </c>
      <c r="C132" s="15">
        <f>('DOE Fuel Esc Rates'!C344)/((1+DOEUPV_femp_disc)^$A132)+C131</f>
        <v>2.9502787764883132</v>
      </c>
      <c r="D132" s="15">
        <f>('DOE Fuel Esc Rates'!D344)/((1+DOEUPV_femp_disc)^$A132)+D131</f>
        <v>2.8207667853123328</v>
      </c>
      <c r="E132" s="15">
        <f>('DOE Fuel Esc Rates'!E344)/((1+DOEUPV_femp_disc)^$A132)+E131</f>
        <v>2.7558392386822805</v>
      </c>
      <c r="F132" s="15">
        <f>('DOE Fuel Esc Rates'!F344)/((1+DOEUPV_femp_disc)^$A132)+F131</f>
        <v>2.9194221667598463</v>
      </c>
      <c r="G132"/>
      <c r="H132" s="15">
        <f>('DOE Fuel Esc Rates'!H344)/((1+DOEUPV_femp_disc)^$A132)+H131</f>
        <v>2.9234916933017794</v>
      </c>
      <c r="I132" s="15">
        <f>('DOE Fuel Esc Rates'!I344)/((1+DOEUPV_femp_disc)^$A132)+I131</f>
        <v>2.8671751897681155</v>
      </c>
      <c r="J132" s="15">
        <f>('DOE Fuel Esc Rates'!J344)/((1+DOEUPV_femp_disc)^$A132)+J131</f>
        <v>3.0506918380739227</v>
      </c>
      <c r="K132" s="15">
        <f>('DOE Fuel Esc Rates'!K344)/((1+DOEUPV_femp_disc)^$A132)+K131</f>
        <v>2.8647119413957793</v>
      </c>
      <c r="L132" s="15">
        <f>('DOE Fuel Esc Rates'!L344)/((1+DOEUPV_femp_disc)^$A132)+L131</f>
        <v>2.9313721782151796</v>
      </c>
      <c r="N132" s="15">
        <f>('DOE Fuel Esc Rates'!N344)/((1+DOEUPV_femp_disc)^$A132)+N131</f>
        <v>2.8789333480274308</v>
      </c>
      <c r="O132" s="15">
        <f>('DOE Fuel Esc Rates'!O344)/((1+DOEUPV_femp_disc)^$A132)+O131</f>
        <v>2.8037385241151598</v>
      </c>
      <c r="P132" s="15">
        <f>('DOE Fuel Esc Rates'!P344)/((1+DOEUPV_femp_disc)^$A132)+P131</f>
        <v>3.0552012771039117</v>
      </c>
      <c r="Q132" s="15">
        <f>('DOE Fuel Esc Rates'!Q344)/((1+DOEUPV_femp_disc)^$A132)+Q131</f>
        <v>2.9494465179876785</v>
      </c>
      <c r="R132" s="15">
        <f>('DOE Fuel Esc Rates'!R344)/((1+DOEUPV_femp_disc)^$A132)+R131</f>
        <v>2.9172149239426881</v>
      </c>
      <c r="T132" s="33">
        <v>3</v>
      </c>
      <c r="U132" s="33"/>
    </row>
    <row r="133" spans="1:21" x14ac:dyDescent="0.2">
      <c r="A133" s="33">
        <v>4</v>
      </c>
      <c r="C133" s="15">
        <f>('DOE Fuel Esc Rates'!C345)/((1+DOEUPV_femp_disc)^$A133)+C132</f>
        <v>3.874053253257391</v>
      </c>
      <c r="D133" s="15">
        <f>('DOE Fuel Esc Rates'!D345)/((1+DOEUPV_femp_disc)^$A133)+D132</f>
        <v>3.7233976212556232</v>
      </c>
      <c r="E133" s="15">
        <f>('DOE Fuel Esc Rates'!E345)/((1+DOEUPV_femp_disc)^$A133)+E132</f>
        <v>3.6601475180041532</v>
      </c>
      <c r="F133" s="15">
        <f>('DOE Fuel Esc Rates'!F345)/((1+DOEUPV_femp_disc)^$A133)+F132</f>
        <v>3.8583508128361483</v>
      </c>
      <c r="G133"/>
      <c r="H133" s="15">
        <f>('DOE Fuel Esc Rates'!H345)/((1+DOEUPV_femp_disc)^$A133)+H132</f>
        <v>3.8321780047002374</v>
      </c>
      <c r="I133" s="15">
        <f>('DOE Fuel Esc Rates'!I345)/((1+DOEUPV_femp_disc)^$A133)+I132</f>
        <v>3.7972826861808411</v>
      </c>
      <c r="J133" s="15">
        <f>('DOE Fuel Esc Rates'!J345)/((1+DOEUPV_femp_disc)^$A133)+J132</f>
        <v>4.0689578929885331</v>
      </c>
      <c r="K133" s="15">
        <f>('DOE Fuel Esc Rates'!K345)/((1+DOEUPV_femp_disc)^$A133)+K132</f>
        <v>3.7972231223162995</v>
      </c>
      <c r="L133" s="15">
        <f>('DOE Fuel Esc Rates'!L345)/((1+DOEUPV_femp_disc)^$A133)+L132</f>
        <v>3.8686041514529261</v>
      </c>
      <c r="N133" s="15">
        <f>('DOE Fuel Esc Rates'!N345)/((1+DOEUPV_femp_disc)^$A133)+N132</f>
        <v>3.7735358426839358</v>
      </c>
      <c r="O133" s="15">
        <f>('DOE Fuel Esc Rates'!O345)/((1+DOEUPV_femp_disc)^$A133)+O132</f>
        <v>3.6987746166100797</v>
      </c>
      <c r="P133" s="15">
        <f>('DOE Fuel Esc Rates'!P345)/((1+DOEUPV_femp_disc)^$A133)+P132</f>
        <v>4.0753160358219249</v>
      </c>
      <c r="Q133" s="15">
        <f>('DOE Fuel Esc Rates'!Q345)/((1+DOEUPV_femp_disc)^$A133)+Q132</f>
        <v>3.9908839474594533</v>
      </c>
      <c r="R133" s="15">
        <f>('DOE Fuel Esc Rates'!R345)/((1+DOEUPV_femp_disc)^$A133)+R132</f>
        <v>3.8366597087195511</v>
      </c>
      <c r="T133" s="33">
        <v>4</v>
      </c>
      <c r="U133" s="33"/>
    </row>
    <row r="134" spans="1:21" x14ac:dyDescent="0.2">
      <c r="A134" s="33">
        <v>5</v>
      </c>
      <c r="C134" s="15">
        <f>('DOE Fuel Esc Rates'!C346)/((1+DOEUPV_femp_disc)^$A134)+C133</f>
        <v>4.7760606232545619</v>
      </c>
      <c r="D134" s="15">
        <f>('DOE Fuel Esc Rates'!D346)/((1+DOEUPV_femp_disc)^$A134)+D133</f>
        <v>4.6122217232549358</v>
      </c>
      <c r="E134" s="15">
        <f>('DOE Fuel Esc Rates'!E346)/((1+DOEUPV_femp_disc)^$A134)+E133</f>
        <v>4.5761135467832137</v>
      </c>
      <c r="F134" s="15">
        <f>('DOE Fuel Esc Rates'!F346)/((1+DOEUPV_femp_disc)^$A134)+F133</f>
        <v>4.7741737287558577</v>
      </c>
      <c r="G134"/>
      <c r="H134" s="15">
        <f>('DOE Fuel Esc Rates'!H346)/((1+DOEUPV_femp_disc)^$A134)+H133</f>
        <v>4.714942472710681</v>
      </c>
      <c r="I134" s="15">
        <f>('DOE Fuel Esc Rates'!I346)/((1+DOEUPV_femp_disc)^$A134)+I133</f>
        <v>4.7134855074646129</v>
      </c>
      <c r="J134" s="15">
        <f>('DOE Fuel Esc Rates'!J346)/((1+DOEUPV_femp_disc)^$A134)+J133</f>
        <v>5.080474628916031</v>
      </c>
      <c r="K134" s="15">
        <f>('DOE Fuel Esc Rates'!K346)/((1+DOEUPV_femp_disc)^$A134)+K133</f>
        <v>4.7453156601079032</v>
      </c>
      <c r="L134" s="15">
        <f>('DOE Fuel Esc Rates'!L346)/((1+DOEUPV_femp_disc)^$A134)+L133</f>
        <v>4.7849915383548058</v>
      </c>
      <c r="N134" s="15">
        <f>('DOE Fuel Esc Rates'!N346)/((1+DOEUPV_femp_disc)^$A134)+N133</f>
        <v>4.6454747122482623</v>
      </c>
      <c r="O134" s="15">
        <f>('DOE Fuel Esc Rates'!O346)/((1+DOEUPV_femp_disc)^$A134)+O133</f>
        <v>4.5817299472598165</v>
      </c>
      <c r="P134" s="15">
        <f>('DOE Fuel Esc Rates'!P346)/((1+DOEUPV_femp_disc)^$A134)+P133</f>
        <v>5.0887926117136075</v>
      </c>
      <c r="Q134" s="15">
        <f>('DOE Fuel Esc Rates'!Q346)/((1+DOEUPV_femp_disc)^$A134)+Q133</f>
        <v>5.0620538499248955</v>
      </c>
      <c r="R134" s="15">
        <f>('DOE Fuel Esc Rates'!R346)/((1+DOEUPV_femp_disc)^$A134)+R133</f>
        <v>4.7383413648702453</v>
      </c>
      <c r="T134" s="33">
        <v>5</v>
      </c>
      <c r="U134" s="33"/>
    </row>
    <row r="135" spans="1:21" x14ac:dyDescent="0.2">
      <c r="A135" s="33">
        <v>6</v>
      </c>
      <c r="C135" s="15">
        <f>('DOE Fuel Esc Rates'!C347)/((1+DOEUPV_femp_disc)^$A135)+C134</f>
        <v>5.6586858753339309</v>
      </c>
      <c r="D135" s="15">
        <f>('DOE Fuel Esc Rates'!D347)/((1+DOEUPV_femp_disc)^$A135)+D134</f>
        <v>5.4897016101420064</v>
      </c>
      <c r="E135" s="15">
        <f>('DOE Fuel Esc Rates'!E347)/((1+DOEUPV_femp_disc)^$A135)+E134</f>
        <v>5.4944421131561052</v>
      </c>
      <c r="F135" s="15">
        <f>('DOE Fuel Esc Rates'!F347)/((1+DOEUPV_femp_disc)^$A135)+F134</f>
        <v>5.6670659738119662</v>
      </c>
      <c r="G135"/>
      <c r="H135" s="15">
        <f>('DOE Fuel Esc Rates'!H347)/((1+DOEUPV_femp_disc)^$A135)+H134</f>
        <v>5.5751686447952808</v>
      </c>
      <c r="I135" s="15">
        <f>('DOE Fuel Esc Rates'!I347)/((1+DOEUPV_femp_disc)^$A135)+I134</f>
        <v>5.6186953154777148</v>
      </c>
      <c r="J135" s="15">
        <f>('DOE Fuel Esc Rates'!J347)/((1+DOEUPV_femp_disc)^$A135)+J134</f>
        <v>6.089904070066912</v>
      </c>
      <c r="K135" s="15">
        <f>('DOE Fuel Esc Rates'!K347)/((1+DOEUPV_femp_disc)^$A135)+K134</f>
        <v>5.6988028036970633</v>
      </c>
      <c r="L135" s="15">
        <f>('DOE Fuel Esc Rates'!L347)/((1+DOEUPV_femp_disc)^$A135)+L134</f>
        <v>5.6830419881652077</v>
      </c>
      <c r="N135" s="15">
        <f>('DOE Fuel Esc Rates'!N347)/((1+DOEUPV_femp_disc)^$A135)+N134</f>
        <v>5.4981934416444513</v>
      </c>
      <c r="O135" s="15">
        <f>('DOE Fuel Esc Rates'!O347)/((1+DOEUPV_femp_disc)^$A135)+O134</f>
        <v>5.4546066590170801</v>
      </c>
      <c r="P135" s="15">
        <f>('DOE Fuel Esc Rates'!P347)/((1+DOEUPV_femp_disc)^$A135)+P134</f>
        <v>6.1003219505475688</v>
      </c>
      <c r="Q135" s="15">
        <f>('DOE Fuel Esc Rates'!Q347)/((1+DOEUPV_femp_disc)^$A135)+Q134</f>
        <v>6.1473816100371748</v>
      </c>
      <c r="R135" s="15">
        <f>('DOE Fuel Esc Rates'!R347)/((1+DOEUPV_femp_disc)^$A135)+R134</f>
        <v>5.6254327029602482</v>
      </c>
      <c r="T135" s="33">
        <v>6</v>
      </c>
      <c r="U135" s="33"/>
    </row>
    <row r="136" spans="1:21" x14ac:dyDescent="0.2">
      <c r="A136" s="33">
        <v>7</v>
      </c>
      <c r="C136" s="15">
        <f>('DOE Fuel Esc Rates'!C348)/((1+DOEUPV_femp_disc)^$A136)+C135</f>
        <v>6.5202168809700805</v>
      </c>
      <c r="D136" s="15">
        <f>('DOE Fuel Esc Rates'!D348)/((1+DOEUPV_femp_disc)^$A136)+D135</f>
        <v>6.3577052351313172</v>
      </c>
      <c r="E136" s="15">
        <f>('DOE Fuel Esc Rates'!E348)/((1+DOEUPV_femp_disc)^$A136)+E135</f>
        <v>6.4027880189867306</v>
      </c>
      <c r="F136" s="15">
        <f>('DOE Fuel Esc Rates'!F348)/((1+DOEUPV_femp_disc)^$A136)+F135</f>
        <v>6.5379498634761033</v>
      </c>
      <c r="G136"/>
      <c r="H136" s="15">
        <f>('DOE Fuel Esc Rates'!H348)/((1+DOEUPV_femp_disc)^$A136)+H135</f>
        <v>6.4118801179458931</v>
      </c>
      <c r="I136" s="15">
        <f>('DOE Fuel Esc Rates'!I348)/((1+DOEUPV_femp_disc)^$A136)+I135</f>
        <v>6.5163836260781931</v>
      </c>
      <c r="J136" s="15">
        <f>('DOE Fuel Esc Rates'!J348)/((1+DOEUPV_femp_disc)^$A136)+J135</f>
        <v>7.0981707654405906</v>
      </c>
      <c r="K136" s="15">
        <f>('DOE Fuel Esc Rates'!K348)/((1+DOEUPV_femp_disc)^$A136)+K135</f>
        <v>6.6437469925555552</v>
      </c>
      <c r="L136" s="15">
        <f>('DOE Fuel Esc Rates'!L348)/((1+DOEUPV_femp_disc)^$A136)+L135</f>
        <v>6.5630462672749719</v>
      </c>
      <c r="N136" s="15">
        <f>('DOE Fuel Esc Rates'!N348)/((1+DOEUPV_femp_disc)^$A136)+N135</f>
        <v>6.3296734532443413</v>
      </c>
      <c r="O136" s="15">
        <f>('DOE Fuel Esc Rates'!O348)/((1+DOEUPV_femp_disc)^$A136)+O135</f>
        <v>6.3228365627758558</v>
      </c>
      <c r="P136" s="15">
        <f>('DOE Fuel Esc Rates'!P348)/((1+DOEUPV_femp_disc)^$A136)+P135</f>
        <v>7.1108307424228485</v>
      </c>
      <c r="Q136" s="15">
        <f>('DOE Fuel Esc Rates'!Q348)/((1+DOEUPV_femp_disc)^$A136)+Q135</f>
        <v>7.2278339665031019</v>
      </c>
      <c r="R136" s="15">
        <f>('DOE Fuel Esc Rates'!R348)/((1+DOEUPV_femp_disc)^$A136)+R135</f>
        <v>6.4951856436655078</v>
      </c>
      <c r="T136" s="33">
        <v>7</v>
      </c>
      <c r="U136" s="33"/>
    </row>
    <row r="137" spans="1:21" x14ac:dyDescent="0.2">
      <c r="A137" s="33">
        <v>8</v>
      </c>
      <c r="C137" s="15">
        <f>('DOE Fuel Esc Rates'!C349)/((1+DOEUPV_femp_disc)^$A137)+C136</f>
        <v>7.3577744799301144</v>
      </c>
      <c r="D137" s="15">
        <f>('DOE Fuel Esc Rates'!D349)/((1+DOEUPV_femp_disc)^$A137)+D136</f>
        <v>7.2168018258752822</v>
      </c>
      <c r="E137" s="15">
        <f>('DOE Fuel Esc Rates'!E349)/((1+DOEUPV_femp_disc)^$A137)+E136</f>
        <v>7.2979943671777914</v>
      </c>
      <c r="F137" s="15">
        <f>('DOE Fuel Esc Rates'!F349)/((1+DOEUPV_femp_disc)^$A137)+F136</f>
        <v>7.3887615147639432</v>
      </c>
      <c r="G137"/>
      <c r="H137" s="15">
        <f>('DOE Fuel Esc Rates'!H349)/((1+DOEUPV_femp_disc)^$A137)+H136</f>
        <v>7.2224765277939884</v>
      </c>
      <c r="I137" s="15">
        <f>('DOE Fuel Esc Rates'!I349)/((1+DOEUPV_femp_disc)^$A137)+I136</f>
        <v>7.4054421522976357</v>
      </c>
      <c r="J137" s="15">
        <f>('DOE Fuel Esc Rates'!J349)/((1+DOEUPV_femp_disc)^$A137)+J136</f>
        <v>8.106098796995667</v>
      </c>
      <c r="K137" s="15">
        <f>('DOE Fuel Esc Rates'!K349)/((1+DOEUPV_femp_disc)^$A137)+K136</f>
        <v>7.5771700736700067</v>
      </c>
      <c r="L137" s="15">
        <f>('DOE Fuel Esc Rates'!L349)/((1+DOEUPV_femp_disc)^$A137)+L136</f>
        <v>7.4252937601166273</v>
      </c>
      <c r="N137" s="15">
        <f>('DOE Fuel Esc Rates'!N349)/((1+DOEUPV_femp_disc)^$A137)+N136</f>
        <v>7.1392642412378864</v>
      </c>
      <c r="O137" s="15">
        <f>('DOE Fuel Esc Rates'!O349)/((1+DOEUPV_femp_disc)^$A137)+O136</f>
        <v>7.1840102729365132</v>
      </c>
      <c r="P137" s="15">
        <f>('DOE Fuel Esc Rates'!P349)/((1+DOEUPV_femp_disc)^$A137)+P136</f>
        <v>8.1211446184378033</v>
      </c>
      <c r="Q137" s="15">
        <f>('DOE Fuel Esc Rates'!Q349)/((1+DOEUPV_femp_disc)^$A137)+Q136</f>
        <v>8.2966665854968262</v>
      </c>
      <c r="R137" s="15">
        <f>('DOE Fuel Esc Rates'!R349)/((1+DOEUPV_femp_disc)^$A137)+R136</f>
        <v>7.3506081937408876</v>
      </c>
      <c r="T137" s="33">
        <v>8</v>
      </c>
      <c r="U137" s="33"/>
    </row>
    <row r="138" spans="1:21" x14ac:dyDescent="0.2">
      <c r="A138" s="33">
        <v>9</v>
      </c>
      <c r="C138" s="15">
        <f>('DOE Fuel Esc Rates'!C350)/((1+DOEUPV_femp_disc)^$A138)+C137</f>
        <v>8.1720243132994437</v>
      </c>
      <c r="D138" s="15">
        <f>('DOE Fuel Esc Rates'!D350)/((1+DOEUPV_femp_disc)^$A138)+D137</f>
        <v>8.0671435935503144</v>
      </c>
      <c r="E138" s="15">
        <f>('DOE Fuel Esc Rates'!E350)/((1+DOEUPV_femp_disc)^$A138)+E137</f>
        <v>8.175746238709106</v>
      </c>
      <c r="F138" s="15">
        <f>('DOE Fuel Esc Rates'!F350)/((1+DOEUPV_femp_disc)^$A138)+F137</f>
        <v>8.2195887726688586</v>
      </c>
      <c r="G138"/>
      <c r="H138" s="15">
        <f>('DOE Fuel Esc Rates'!H350)/((1+DOEUPV_femp_disc)^$A138)+H137</f>
        <v>8.0075273265697149</v>
      </c>
      <c r="I138" s="15">
        <f>('DOE Fuel Esc Rates'!I350)/((1+DOEUPV_femp_disc)^$A138)+I137</f>
        <v>8.2856120584259916</v>
      </c>
      <c r="J138" s="15">
        <f>('DOE Fuel Esc Rates'!J350)/((1+DOEUPV_femp_disc)^$A138)+J137</f>
        <v>9.1136354001889739</v>
      </c>
      <c r="K138" s="15">
        <f>('DOE Fuel Esc Rates'!K350)/((1+DOEUPV_femp_disc)^$A138)+K137</f>
        <v>8.492899975715714</v>
      </c>
      <c r="L138" s="15">
        <f>('DOE Fuel Esc Rates'!L350)/((1+DOEUPV_femp_disc)^$A138)+L137</f>
        <v>8.2738948303424884</v>
      </c>
      <c r="N138" s="15">
        <f>('DOE Fuel Esc Rates'!N350)/((1+DOEUPV_femp_disc)^$A138)+N137</f>
        <v>7.9260283204578927</v>
      </c>
      <c r="O138" s="15">
        <f>('DOE Fuel Esc Rates'!O350)/((1+DOEUPV_femp_disc)^$A138)+O137</f>
        <v>8.0370490438251192</v>
      </c>
      <c r="P138" s="15">
        <f>('DOE Fuel Esc Rates'!P350)/((1+DOEUPV_femp_disc)^$A138)+P137</f>
        <v>9.1312061761869661</v>
      </c>
      <c r="Q138" s="15">
        <f>('DOE Fuel Esc Rates'!Q350)/((1+DOEUPV_femp_disc)^$A138)+Q137</f>
        <v>9.3477100346876032</v>
      </c>
      <c r="R138" s="15">
        <f>('DOE Fuel Esc Rates'!R350)/((1+DOEUPV_femp_disc)^$A138)+R137</f>
        <v>8.1917972902156002</v>
      </c>
      <c r="T138" s="33">
        <v>9</v>
      </c>
      <c r="U138" s="33"/>
    </row>
    <row r="139" spans="1:21" x14ac:dyDescent="0.2">
      <c r="A139" s="33">
        <v>10</v>
      </c>
      <c r="C139" s="15">
        <f>('DOE Fuel Esc Rates'!C351)/((1+DOEUPV_femp_disc)^$A139)+C138</f>
        <v>8.9672021224954612</v>
      </c>
      <c r="D139" s="15">
        <f>('DOE Fuel Esc Rates'!D351)/((1+DOEUPV_femp_disc)^$A139)+D138</f>
        <v>8.9092296159081137</v>
      </c>
      <c r="E139" s="15">
        <f>('DOE Fuel Esc Rates'!E351)/((1+DOEUPV_femp_disc)^$A139)+E138</f>
        <v>9.0425772942073532</v>
      </c>
      <c r="F139" s="15">
        <f>('DOE Fuel Esc Rates'!F351)/((1+DOEUPV_femp_disc)^$A139)+F138</f>
        <v>9.0305413719170549</v>
      </c>
      <c r="G139"/>
      <c r="H139" s="15">
        <f>('DOE Fuel Esc Rates'!H351)/((1+DOEUPV_femp_disc)^$A139)+H138</f>
        <v>8.7713572341571009</v>
      </c>
      <c r="I139" s="15">
        <f>('DOE Fuel Esc Rates'!I351)/((1+DOEUPV_femp_disc)^$A139)+I138</f>
        <v>9.1573907279499647</v>
      </c>
      <c r="J139" s="15">
        <f>('DOE Fuel Esc Rates'!J351)/((1+DOEUPV_femp_disc)^$A139)+J138</f>
        <v>10.119948314717334</v>
      </c>
      <c r="K139" s="15">
        <f>('DOE Fuel Esc Rates'!K351)/((1+DOEUPV_femp_disc)^$A139)+K138</f>
        <v>9.3970411178030631</v>
      </c>
      <c r="L139" s="15">
        <f>('DOE Fuel Esc Rates'!L351)/((1+DOEUPV_femp_disc)^$A139)+L138</f>
        <v>9.1033461519355949</v>
      </c>
      <c r="N139" s="15">
        <f>('DOE Fuel Esc Rates'!N351)/((1+DOEUPV_femp_disc)^$A139)+N138</f>
        <v>8.6957301871947212</v>
      </c>
      <c r="O139" s="15">
        <f>('DOE Fuel Esc Rates'!O351)/((1+DOEUPV_femp_disc)^$A139)+O138</f>
        <v>8.8831587829263583</v>
      </c>
      <c r="P139" s="15">
        <f>('DOE Fuel Esc Rates'!P351)/((1+DOEUPV_femp_disc)^$A139)+P138</f>
        <v>10.140173027867917</v>
      </c>
      <c r="Q139" s="15">
        <f>('DOE Fuel Esc Rates'!Q351)/((1+DOEUPV_femp_disc)^$A139)+Q138</f>
        <v>10.392607872627686</v>
      </c>
      <c r="R139" s="15">
        <f>('DOE Fuel Esc Rates'!R351)/((1+DOEUPV_femp_disc)^$A139)+R138</f>
        <v>9.011078395119311</v>
      </c>
      <c r="T139" s="33">
        <v>10</v>
      </c>
      <c r="U139" s="33"/>
    </row>
    <row r="140" spans="1:21" x14ac:dyDescent="0.2">
      <c r="A140" s="33">
        <v>11</v>
      </c>
      <c r="C140" s="15">
        <f>('DOE Fuel Esc Rates'!C352)/((1+DOEUPV_femp_disc)^$A140)+C139</f>
        <v>9.7433182570995793</v>
      </c>
      <c r="D140" s="15">
        <f>('DOE Fuel Esc Rates'!D352)/((1+DOEUPV_femp_disc)^$A140)+D139</f>
        <v>9.7442133972542955</v>
      </c>
      <c r="E140" s="15">
        <f>('DOE Fuel Esc Rates'!E352)/((1+DOEUPV_femp_disc)^$A140)+E139</f>
        <v>9.9004102440205042</v>
      </c>
      <c r="F140" s="15">
        <f>('DOE Fuel Esc Rates'!F352)/((1+DOEUPV_femp_disc)^$A140)+F139</f>
        <v>9.8233640067181103</v>
      </c>
      <c r="G140"/>
      <c r="H140" s="15">
        <f>('DOE Fuel Esc Rates'!H352)/((1+DOEUPV_femp_disc)^$A140)+H139</f>
        <v>9.515905086010072</v>
      </c>
      <c r="I140" s="15">
        <f>('DOE Fuel Esc Rates'!I352)/((1+DOEUPV_femp_disc)^$A140)+I139</f>
        <v>10.021232737689608</v>
      </c>
      <c r="J140" s="15">
        <f>('DOE Fuel Esc Rates'!J352)/((1+DOEUPV_femp_disc)^$A140)+J139</f>
        <v>11.127205763703351</v>
      </c>
      <c r="K140" s="15">
        <f>('DOE Fuel Esc Rates'!K352)/((1+DOEUPV_femp_disc)^$A140)+K139</f>
        <v>10.293559413762338</v>
      </c>
      <c r="L140" s="15">
        <f>('DOE Fuel Esc Rates'!L352)/((1+DOEUPV_femp_disc)^$A140)+L139</f>
        <v>9.9122417958080238</v>
      </c>
      <c r="N140" s="15">
        <f>('DOE Fuel Esc Rates'!N352)/((1+DOEUPV_femp_disc)^$A140)+N139</f>
        <v>9.4479859707916631</v>
      </c>
      <c r="O140" s="15">
        <f>('DOE Fuel Esc Rates'!O352)/((1+DOEUPV_femp_disc)^$A140)+O139</f>
        <v>9.7220194593896867</v>
      </c>
      <c r="P140" s="15">
        <f>('DOE Fuel Esc Rates'!P352)/((1+DOEUPV_femp_disc)^$A140)+P139</f>
        <v>11.14948176616125</v>
      </c>
      <c r="Q140" s="15">
        <f>('DOE Fuel Esc Rates'!Q352)/((1+DOEUPV_femp_disc)^$A140)+Q139</f>
        <v>11.433621124206173</v>
      </c>
      <c r="R140" s="15">
        <f>('DOE Fuel Esc Rates'!R352)/((1+DOEUPV_femp_disc)^$A140)+R139</f>
        <v>9.8090140908747383</v>
      </c>
      <c r="T140" s="33">
        <v>11</v>
      </c>
      <c r="U140" s="33"/>
    </row>
    <row r="141" spans="1:21" x14ac:dyDescent="0.2">
      <c r="A141" s="33">
        <v>12</v>
      </c>
      <c r="C141" s="15">
        <f>('DOE Fuel Esc Rates'!C353)/((1+DOEUPV_femp_disc)^$A141)+C140</f>
        <v>10.498818797551415</v>
      </c>
      <c r="D141" s="15">
        <f>('DOE Fuel Esc Rates'!D353)/((1+DOEUPV_femp_disc)^$A141)+D140</f>
        <v>10.572809309744692</v>
      </c>
      <c r="E141" s="15">
        <f>('DOE Fuel Esc Rates'!E353)/((1+DOEUPV_femp_disc)^$A141)+E140</f>
        <v>10.738516473866841</v>
      </c>
      <c r="F141" s="15">
        <f>('DOE Fuel Esc Rates'!F353)/((1+DOEUPV_femp_disc)^$A141)+F140</f>
        <v>10.597797759099265</v>
      </c>
      <c r="G141"/>
      <c r="H141" s="15">
        <f>('DOE Fuel Esc Rates'!H353)/((1+DOEUPV_femp_disc)^$A141)+H140</f>
        <v>10.239874403455866</v>
      </c>
      <c r="I141" s="15">
        <f>('DOE Fuel Esc Rates'!I353)/((1+DOEUPV_femp_disc)^$A141)+I140</f>
        <v>10.877898400035759</v>
      </c>
      <c r="J141" s="15">
        <f>('DOE Fuel Esc Rates'!J353)/((1+DOEUPV_femp_disc)^$A141)+J140</f>
        <v>12.133782609128405</v>
      </c>
      <c r="K141" s="15">
        <f>('DOE Fuel Esc Rates'!K353)/((1+DOEUPV_femp_disc)^$A141)+K140</f>
        <v>11.168704579588706</v>
      </c>
      <c r="L141" s="15">
        <f>('DOE Fuel Esc Rates'!L353)/((1+DOEUPV_femp_disc)^$A141)+L140</f>
        <v>10.708071834430973</v>
      </c>
      <c r="N141" s="15">
        <f>('DOE Fuel Esc Rates'!N353)/((1+DOEUPV_femp_disc)^$A141)+N140</f>
        <v>10.180745186824145</v>
      </c>
      <c r="O141" s="15">
        <f>('DOE Fuel Esc Rates'!O353)/((1+DOEUPV_femp_disc)^$A141)+O140</f>
        <v>10.553335563087696</v>
      </c>
      <c r="P141" s="15">
        <f>('DOE Fuel Esc Rates'!P353)/((1+DOEUPV_femp_disc)^$A141)+P140</f>
        <v>12.158978116356693</v>
      </c>
      <c r="Q141" s="15">
        <f>('DOE Fuel Esc Rates'!Q353)/((1+DOEUPV_femp_disc)^$A141)+Q140</f>
        <v>12.442956967269176</v>
      </c>
      <c r="R141" s="15">
        <f>('DOE Fuel Esc Rates'!R353)/((1+DOEUPV_femp_disc)^$A141)+R140</f>
        <v>10.588596605793061</v>
      </c>
      <c r="T141" s="33">
        <v>12</v>
      </c>
      <c r="U141" s="33"/>
    </row>
    <row r="142" spans="1:21" x14ac:dyDescent="0.2">
      <c r="A142" s="33">
        <v>13</v>
      </c>
      <c r="C142" s="15">
        <f>('DOE Fuel Esc Rates'!C354)/((1+DOEUPV_femp_disc)^$A142)+C141</f>
        <v>11.231155401782376</v>
      </c>
      <c r="D142" s="15">
        <f>('DOE Fuel Esc Rates'!D354)/((1+DOEUPV_femp_disc)^$A142)+D141</f>
        <v>11.395009601111273</v>
      </c>
      <c r="E142" s="15">
        <f>('DOE Fuel Esc Rates'!E354)/((1+DOEUPV_femp_disc)^$A142)+E141</f>
        <v>11.548382687973067</v>
      </c>
      <c r="F142" s="15">
        <f>('DOE Fuel Esc Rates'!F354)/((1+DOEUPV_femp_disc)^$A142)+F141</f>
        <v>11.353936842042069</v>
      </c>
      <c r="G142"/>
      <c r="H142" s="15">
        <f>('DOE Fuel Esc Rates'!H354)/((1+DOEUPV_femp_disc)^$A142)+H141</f>
        <v>10.939747031077525</v>
      </c>
      <c r="I142" s="15">
        <f>('DOE Fuel Esc Rates'!I354)/((1+DOEUPV_femp_disc)^$A142)+I141</f>
        <v>11.727408700914822</v>
      </c>
      <c r="J142" s="15">
        <f>('DOE Fuel Esc Rates'!J354)/((1+DOEUPV_femp_disc)^$A142)+J141</f>
        <v>13.139559562785335</v>
      </c>
      <c r="K142" s="15">
        <f>('DOE Fuel Esc Rates'!K354)/((1+DOEUPV_femp_disc)^$A142)+K141</f>
        <v>12.012225383634309</v>
      </c>
      <c r="L142" s="15">
        <f>('DOE Fuel Esc Rates'!L354)/((1+DOEUPV_femp_disc)^$A142)+L141</f>
        <v>11.485816756418192</v>
      </c>
      <c r="N142" s="15">
        <f>('DOE Fuel Esc Rates'!N354)/((1+DOEUPV_femp_disc)^$A142)+N141</f>
        <v>10.889818411064828</v>
      </c>
      <c r="O142" s="15">
        <f>('DOE Fuel Esc Rates'!O354)/((1+DOEUPV_femp_disc)^$A142)+O141</f>
        <v>11.378508046833728</v>
      </c>
      <c r="P142" s="15">
        <f>('DOE Fuel Esc Rates'!P354)/((1+DOEUPV_femp_disc)^$A142)+P141</f>
        <v>13.167794916346587</v>
      </c>
      <c r="Q142" s="15">
        <f>('DOE Fuel Esc Rates'!Q354)/((1+DOEUPV_femp_disc)^$A142)+Q141</f>
        <v>13.401820749696707</v>
      </c>
      <c r="R142" s="15">
        <f>('DOE Fuel Esc Rates'!R354)/((1+DOEUPV_femp_disc)^$A142)+R141</f>
        <v>11.35259079212687</v>
      </c>
      <c r="T142" s="33">
        <v>13</v>
      </c>
      <c r="U142" s="33"/>
    </row>
    <row r="143" spans="1:21" x14ac:dyDescent="0.2">
      <c r="A143" s="33">
        <v>14</v>
      </c>
      <c r="C143" s="15">
        <f>('DOE Fuel Esc Rates'!C355)/((1+DOEUPV_femp_disc)^$A143)+C142</f>
        <v>11.939723648699466</v>
      </c>
      <c r="D143" s="15">
        <f>('DOE Fuel Esc Rates'!D355)/((1+DOEUPV_femp_disc)^$A143)+D142</f>
        <v>12.211121740566094</v>
      </c>
      <c r="E143" s="15">
        <f>('DOE Fuel Esc Rates'!E355)/((1+DOEUPV_femp_disc)^$A143)+E142</f>
        <v>12.33342135711289</v>
      </c>
      <c r="F143" s="15">
        <f>('DOE Fuel Esc Rates'!F355)/((1+DOEUPV_femp_disc)^$A143)+F142</f>
        <v>12.092189984167643</v>
      </c>
      <c r="G143"/>
      <c r="H143" s="15">
        <f>('DOE Fuel Esc Rates'!H355)/((1+DOEUPV_femp_disc)^$A143)+H142</f>
        <v>11.614433721448783</v>
      </c>
      <c r="I143" s="15">
        <f>('DOE Fuel Esc Rates'!I355)/((1+DOEUPV_femp_disc)^$A143)+I142</f>
        <v>12.569779711878979</v>
      </c>
      <c r="J143" s="15">
        <f>('DOE Fuel Esc Rates'!J355)/((1+DOEUPV_femp_disc)^$A143)+J142</f>
        <v>14.145079902789343</v>
      </c>
      <c r="K143" s="15">
        <f>('DOE Fuel Esc Rates'!K355)/((1+DOEUPV_femp_disc)^$A143)+K142</f>
        <v>12.827455110403891</v>
      </c>
      <c r="L143" s="15">
        <f>('DOE Fuel Esc Rates'!L355)/((1+DOEUPV_femp_disc)^$A143)+L142</f>
        <v>12.25080095068213</v>
      </c>
      <c r="N143" s="15">
        <f>('DOE Fuel Esc Rates'!N355)/((1+DOEUPV_femp_disc)^$A143)+N142</f>
        <v>11.575313717097998</v>
      </c>
      <c r="O143" s="15">
        <f>('DOE Fuel Esc Rates'!O355)/((1+DOEUPV_femp_disc)^$A143)+O142</f>
        <v>12.196539808529691</v>
      </c>
      <c r="P143" s="15">
        <f>('DOE Fuel Esc Rates'!P355)/((1+DOEUPV_femp_disc)^$A143)+P142</f>
        <v>14.176475683866148</v>
      </c>
      <c r="Q143" s="15">
        <f>('DOE Fuel Esc Rates'!Q355)/((1+DOEUPV_femp_disc)^$A143)+Q142</f>
        <v>14.317411366652474</v>
      </c>
      <c r="R143" s="15">
        <f>('DOE Fuel Esc Rates'!R355)/((1+DOEUPV_femp_disc)^$A143)+R142</f>
        <v>12.098939813329771</v>
      </c>
      <c r="T143" s="33">
        <v>14</v>
      </c>
      <c r="U143" s="33"/>
    </row>
    <row r="144" spans="1:21" x14ac:dyDescent="0.2">
      <c r="A144" s="33">
        <v>15</v>
      </c>
      <c r="C144" s="15">
        <f>('DOE Fuel Esc Rates'!C356)/((1+DOEUPV_femp_disc)^$A144)+C143</f>
        <v>12.627836074007892</v>
      </c>
      <c r="D144" s="15">
        <f>('DOE Fuel Esc Rates'!D356)/((1+DOEUPV_femp_disc)^$A144)+D143</f>
        <v>13.021112504864123</v>
      </c>
      <c r="E144" s="15">
        <f>('DOE Fuel Esc Rates'!E356)/((1+DOEUPV_femp_disc)^$A144)+E143</f>
        <v>13.098001052652934</v>
      </c>
      <c r="F144" s="15">
        <f>('DOE Fuel Esc Rates'!F356)/((1+DOEUPV_femp_disc)^$A144)+F143</f>
        <v>12.813531484281791</v>
      </c>
      <c r="G144"/>
      <c r="H144" s="15">
        <f>('DOE Fuel Esc Rates'!H356)/((1+DOEUPV_femp_disc)^$A144)+H143</f>
        <v>12.267645295954505</v>
      </c>
      <c r="I144" s="15">
        <f>('DOE Fuel Esc Rates'!I356)/((1+DOEUPV_femp_disc)^$A144)+I143</f>
        <v>13.40470664345321</v>
      </c>
      <c r="J144" s="15">
        <f>('DOE Fuel Esc Rates'!J356)/((1+DOEUPV_femp_disc)^$A144)+J143</f>
        <v>15.150816600753148</v>
      </c>
      <c r="K144" s="15">
        <f>('DOE Fuel Esc Rates'!K356)/((1+DOEUPV_femp_disc)^$A144)+K143</f>
        <v>13.621108734549832</v>
      </c>
      <c r="L144" s="15">
        <f>('DOE Fuel Esc Rates'!L356)/((1+DOEUPV_femp_disc)^$A144)+L143</f>
        <v>12.999906664850867</v>
      </c>
      <c r="N144" s="15">
        <f>('DOE Fuel Esc Rates'!N356)/((1+DOEUPV_femp_disc)^$A144)+N143</f>
        <v>12.241158706776993</v>
      </c>
      <c r="O144" s="15">
        <f>('DOE Fuel Esc Rates'!O356)/((1+DOEUPV_femp_disc)^$A144)+O143</f>
        <v>13.006515966227367</v>
      </c>
      <c r="P144" s="15">
        <f>('DOE Fuel Esc Rates'!P356)/((1+DOEUPV_femp_disc)^$A144)+P143</f>
        <v>15.185493230802551</v>
      </c>
      <c r="Q144" s="15">
        <f>('DOE Fuel Esc Rates'!Q356)/((1+DOEUPV_femp_disc)^$A144)+Q143</f>
        <v>15.198885220911022</v>
      </c>
      <c r="R144" s="15">
        <f>('DOE Fuel Esc Rates'!R356)/((1+DOEUPV_femp_disc)^$A144)+R143</f>
        <v>12.830259871861919</v>
      </c>
      <c r="T144" s="33">
        <v>15</v>
      </c>
      <c r="U144" s="33"/>
    </row>
    <row r="145" spans="1:21" x14ac:dyDescent="0.2">
      <c r="A145" s="33">
        <v>16</v>
      </c>
      <c r="C145" s="15">
        <f>('DOE Fuel Esc Rates'!C357)/((1+DOEUPV_femp_disc)^$A145)+C144</f>
        <v>13.297143884472389</v>
      </c>
      <c r="D145" s="15">
        <f>('DOE Fuel Esc Rates'!D357)/((1+DOEUPV_femp_disc)^$A145)+D144</f>
        <v>13.825247363722688</v>
      </c>
      <c r="E145" s="15">
        <f>('DOE Fuel Esc Rates'!E357)/((1+DOEUPV_femp_disc)^$A145)+E144</f>
        <v>13.847319874601769</v>
      </c>
      <c r="F145" s="15">
        <f>('DOE Fuel Esc Rates'!F357)/((1+DOEUPV_femp_disc)^$A145)+F144</f>
        <v>13.51915591747113</v>
      </c>
      <c r="G145"/>
      <c r="H145" s="15">
        <f>('DOE Fuel Esc Rates'!H357)/((1+DOEUPV_femp_disc)^$A145)+H144</f>
        <v>12.901044215231281</v>
      </c>
      <c r="I145" s="15">
        <f>('DOE Fuel Esc Rates'!I357)/((1+DOEUPV_femp_disc)^$A145)+I144</f>
        <v>14.232523080464544</v>
      </c>
      <c r="J145" s="15">
        <f>('DOE Fuel Esc Rates'!J357)/((1+DOEUPV_femp_disc)^$A145)+J144</f>
        <v>16.157813636346837</v>
      </c>
      <c r="K145" s="15">
        <f>('DOE Fuel Esc Rates'!K357)/((1+DOEUPV_femp_disc)^$A145)+K144</f>
        <v>14.397962114861395</v>
      </c>
      <c r="L145" s="15">
        <f>('DOE Fuel Esc Rates'!L357)/((1+DOEUPV_femp_disc)^$A145)+L144</f>
        <v>13.730301830520327</v>
      </c>
      <c r="N145" s="15">
        <f>('DOE Fuel Esc Rates'!N357)/((1+DOEUPV_femp_disc)^$A145)+N144</f>
        <v>12.888835653439394</v>
      </c>
      <c r="O145" s="15">
        <f>('DOE Fuel Esc Rates'!O357)/((1+DOEUPV_femp_disc)^$A145)+O144</f>
        <v>13.810049159600133</v>
      </c>
      <c r="P145" s="15">
        <f>('DOE Fuel Esc Rates'!P357)/((1+DOEUPV_femp_disc)^$A145)+P144</f>
        <v>16.19525447490922</v>
      </c>
      <c r="Q145" s="15">
        <f>('DOE Fuel Esc Rates'!Q357)/((1+DOEUPV_femp_disc)^$A145)+Q144</f>
        <v>16.060711838981394</v>
      </c>
      <c r="R145" s="15">
        <f>('DOE Fuel Esc Rates'!R357)/((1+DOEUPV_femp_disc)^$A145)+R144</f>
        <v>13.544621972919124</v>
      </c>
      <c r="T145" s="33">
        <v>16</v>
      </c>
      <c r="U145" s="33"/>
    </row>
    <row r="146" spans="1:21" x14ac:dyDescent="0.2">
      <c r="A146" s="33">
        <v>17</v>
      </c>
      <c r="C146" s="15">
        <f>('DOE Fuel Esc Rates'!C358)/((1+DOEUPV_femp_disc)^$A146)+C145</f>
        <v>13.948845287273127</v>
      </c>
      <c r="D146" s="15">
        <f>('DOE Fuel Esc Rates'!D358)/((1+DOEUPV_femp_disc)^$A146)+D145</f>
        <v>14.623180293264225</v>
      </c>
      <c r="E146" s="15">
        <f>('DOE Fuel Esc Rates'!E358)/((1+DOEUPV_femp_disc)^$A146)+E145</f>
        <v>14.585587365220224</v>
      </c>
      <c r="F146" s="15">
        <f>('DOE Fuel Esc Rates'!F358)/((1+DOEUPV_femp_disc)^$A146)+F145</f>
        <v>14.210448736236993</v>
      </c>
      <c r="G146"/>
      <c r="H146" s="15">
        <f>('DOE Fuel Esc Rates'!H358)/((1+DOEUPV_femp_disc)^$A146)+H145</f>
        <v>13.515994622296111</v>
      </c>
      <c r="I146" s="15">
        <f>('DOE Fuel Esc Rates'!I358)/((1+DOEUPV_femp_disc)^$A146)+I145</f>
        <v>15.053829922383013</v>
      </c>
      <c r="J146" s="15">
        <f>('DOE Fuel Esc Rates'!J358)/((1+DOEUPV_femp_disc)^$A146)+J145</f>
        <v>17.165144388876946</v>
      </c>
      <c r="K146" s="15">
        <f>('DOE Fuel Esc Rates'!K358)/((1+DOEUPV_femp_disc)^$A146)+K145</f>
        <v>15.164452544563385</v>
      </c>
      <c r="L146" s="15">
        <f>('DOE Fuel Esc Rates'!L358)/((1+DOEUPV_femp_disc)^$A146)+L145</f>
        <v>14.448475965737561</v>
      </c>
      <c r="N146" s="15">
        <f>('DOE Fuel Esc Rates'!N358)/((1+DOEUPV_femp_disc)^$A146)+N145</f>
        <v>13.519730383840947</v>
      </c>
      <c r="O146" s="15">
        <f>('DOE Fuel Esc Rates'!O358)/((1+DOEUPV_femp_disc)^$A146)+O145</f>
        <v>14.607719490903092</v>
      </c>
      <c r="P146" s="15">
        <f>('DOE Fuel Esc Rates'!P358)/((1+DOEUPV_femp_disc)^$A146)+P145</f>
        <v>17.205482552693237</v>
      </c>
      <c r="Q146" s="15">
        <f>('DOE Fuel Esc Rates'!Q358)/((1+DOEUPV_femp_disc)^$A146)+Q145</f>
        <v>16.914990379535908</v>
      </c>
      <c r="R146" s="15">
        <f>('DOE Fuel Esc Rates'!R358)/((1+DOEUPV_femp_disc)^$A146)+R145</f>
        <v>14.242393553318495</v>
      </c>
      <c r="T146" s="33">
        <v>17</v>
      </c>
      <c r="U146" s="33"/>
    </row>
    <row r="147" spans="1:21" x14ac:dyDescent="0.2">
      <c r="A147" s="33">
        <v>18</v>
      </c>
      <c r="C147" s="15">
        <f>('DOE Fuel Esc Rates'!C359)/((1+DOEUPV_femp_disc)^$A147)+C146</f>
        <v>14.584231284107421</v>
      </c>
      <c r="D147" s="15">
        <f>('DOE Fuel Esc Rates'!D359)/((1+DOEUPV_femp_disc)^$A147)+D146</f>
        <v>15.415157103822599</v>
      </c>
      <c r="E147" s="15">
        <f>('DOE Fuel Esc Rates'!E359)/((1+DOEUPV_femp_disc)^$A147)+E146</f>
        <v>15.312811617011329</v>
      </c>
      <c r="F147" s="15">
        <f>('DOE Fuel Esc Rates'!F359)/((1+DOEUPV_femp_disc)^$A147)+F146</f>
        <v>14.88685844085011</v>
      </c>
      <c r="G147"/>
      <c r="H147" s="15">
        <f>('DOE Fuel Esc Rates'!H359)/((1+DOEUPV_femp_disc)^$A147)+H146</f>
        <v>14.114332167029337</v>
      </c>
      <c r="I147" s="15">
        <f>('DOE Fuel Esc Rates'!I359)/((1+DOEUPV_femp_disc)^$A147)+I146</f>
        <v>15.86917302910877</v>
      </c>
      <c r="J147" s="15">
        <f>('DOE Fuel Esc Rates'!J359)/((1+DOEUPV_femp_disc)^$A147)+J146</f>
        <v>18.17073515738041</v>
      </c>
      <c r="K147" s="15">
        <f>('DOE Fuel Esc Rates'!K359)/((1+DOEUPV_femp_disc)^$A147)+K146</f>
        <v>15.918540216503208</v>
      </c>
      <c r="L147" s="15">
        <f>('DOE Fuel Esc Rates'!L359)/((1+DOEUPV_femp_disc)^$A147)+L146</f>
        <v>15.151591705527625</v>
      </c>
      <c r="N147" s="15">
        <f>('DOE Fuel Esc Rates'!N359)/((1+DOEUPV_femp_disc)^$A147)+N146</f>
        <v>14.135714994482802</v>
      </c>
      <c r="O147" s="15">
        <f>('DOE Fuel Esc Rates'!O359)/((1+DOEUPV_femp_disc)^$A147)+O146</f>
        <v>15.39976411168888</v>
      </c>
      <c r="P147" s="15">
        <f>('DOE Fuel Esc Rates'!P359)/((1+DOEUPV_femp_disc)^$A147)+P146</f>
        <v>18.214085021943831</v>
      </c>
      <c r="Q147" s="15">
        <f>('DOE Fuel Esc Rates'!Q359)/((1+DOEUPV_femp_disc)^$A147)+Q146</f>
        <v>17.756884778459828</v>
      </c>
      <c r="R147" s="15">
        <f>('DOE Fuel Esc Rates'!R359)/((1+DOEUPV_femp_disc)^$A147)+R146</f>
        <v>14.925981702948594</v>
      </c>
      <c r="T147" s="33">
        <v>18</v>
      </c>
      <c r="U147" s="33"/>
    </row>
    <row r="148" spans="1:21" x14ac:dyDescent="0.2">
      <c r="A148" s="33">
        <v>19</v>
      </c>
      <c r="C148" s="15">
        <f>('DOE Fuel Esc Rates'!C360)/((1+DOEUPV_femp_disc)^$A148)+C147</f>
        <v>15.203052291924617</v>
      </c>
      <c r="D148" s="15">
        <f>('DOE Fuel Esc Rates'!D360)/((1+DOEUPV_femp_disc)^$A148)+D147</f>
        <v>16.201673143694908</v>
      </c>
      <c r="E148" s="15">
        <f>('DOE Fuel Esc Rates'!E360)/((1+DOEUPV_femp_disc)^$A148)+E147</f>
        <v>16.02794067406321</v>
      </c>
      <c r="F148" s="15">
        <f>('DOE Fuel Esc Rates'!F360)/((1+DOEUPV_femp_disc)^$A148)+F147</f>
        <v>15.54866556002926</v>
      </c>
      <c r="G148"/>
      <c r="H148" s="15">
        <f>('DOE Fuel Esc Rates'!H360)/((1+DOEUPV_femp_disc)^$A148)+H147</f>
        <v>14.695962690111912</v>
      </c>
      <c r="I148" s="15">
        <f>('DOE Fuel Esc Rates'!I360)/((1+DOEUPV_femp_disc)^$A148)+I147</f>
        <v>16.678765470524713</v>
      </c>
      <c r="J148" s="15">
        <f>('DOE Fuel Esc Rates'!J360)/((1+DOEUPV_femp_disc)^$A148)+J147</f>
        <v>19.17674533950931</v>
      </c>
      <c r="K148" s="15">
        <f>('DOE Fuel Esc Rates'!K360)/((1+DOEUPV_femp_disc)^$A148)+K147</f>
        <v>16.659655165761048</v>
      </c>
      <c r="L148" s="15">
        <f>('DOE Fuel Esc Rates'!L360)/((1+DOEUPV_femp_disc)^$A148)+L147</f>
        <v>15.842761304107665</v>
      </c>
      <c r="N148" s="15">
        <f>('DOE Fuel Esc Rates'!N360)/((1+DOEUPV_femp_disc)^$A148)+N147</f>
        <v>14.73656207189576</v>
      </c>
      <c r="O148" s="15">
        <f>('DOE Fuel Esc Rates'!O360)/((1+DOEUPV_femp_disc)^$A148)+O147</f>
        <v>16.186954995873005</v>
      </c>
      <c r="P148" s="15">
        <f>('DOE Fuel Esc Rates'!P360)/((1+DOEUPV_femp_disc)^$A148)+P147</f>
        <v>19.223819849251775</v>
      </c>
      <c r="Q148" s="15">
        <f>('DOE Fuel Esc Rates'!Q360)/((1+DOEUPV_femp_disc)^$A148)+Q147</f>
        <v>18.586391726549902</v>
      </c>
      <c r="R148" s="15">
        <f>('DOE Fuel Esc Rates'!R360)/((1+DOEUPV_femp_disc)^$A148)+R147</f>
        <v>15.59363363677719</v>
      </c>
      <c r="T148" s="33">
        <v>19</v>
      </c>
      <c r="U148" s="33"/>
    </row>
    <row r="149" spans="1:21" x14ac:dyDescent="0.2">
      <c r="A149" s="33">
        <v>20</v>
      </c>
      <c r="C149" s="15">
        <f>('DOE Fuel Esc Rates'!C361)/((1+DOEUPV_femp_disc)^$A149)+C148</f>
        <v>15.80604838279592</v>
      </c>
      <c r="D149" s="15">
        <f>('DOE Fuel Esc Rates'!D361)/((1+DOEUPV_femp_disc)^$A149)+D148</f>
        <v>16.98210756421226</v>
      </c>
      <c r="E149" s="15">
        <f>('DOE Fuel Esc Rates'!E361)/((1+DOEUPV_femp_disc)^$A149)+E148</f>
        <v>16.733137815524529</v>
      </c>
      <c r="F149" s="15">
        <f>('DOE Fuel Esc Rates'!F361)/((1+DOEUPV_femp_disc)^$A149)+F148</f>
        <v>16.196146906900719</v>
      </c>
      <c r="G149"/>
      <c r="H149" s="15">
        <f>('DOE Fuel Esc Rates'!H361)/((1+DOEUPV_femp_disc)^$A149)+H148</f>
        <v>15.261876304352887</v>
      </c>
      <c r="I149" s="15">
        <f>('DOE Fuel Esc Rates'!I361)/((1+DOEUPV_femp_disc)^$A149)+I148</f>
        <v>17.481977536015933</v>
      </c>
      <c r="J149" s="15">
        <f>('DOE Fuel Esc Rates'!J361)/((1+DOEUPV_femp_disc)^$A149)+J148</f>
        <v>20.183428528939011</v>
      </c>
      <c r="K149" s="15">
        <f>('DOE Fuel Esc Rates'!K361)/((1+DOEUPV_femp_disc)^$A149)+K148</f>
        <v>17.391654417354243</v>
      </c>
      <c r="L149" s="15">
        <f>('DOE Fuel Esc Rates'!L361)/((1+DOEUPV_femp_disc)^$A149)+L148</f>
        <v>16.52070343703906</v>
      </c>
      <c r="N149" s="15">
        <f>('DOE Fuel Esc Rates'!N361)/((1+DOEUPV_femp_disc)^$A149)+N148</f>
        <v>15.322903062317277</v>
      </c>
      <c r="O149" s="15">
        <f>('DOE Fuel Esc Rates'!O361)/((1+DOEUPV_femp_disc)^$A149)+O148</f>
        <v>16.968086735562917</v>
      </c>
      <c r="P149" s="15">
        <f>('DOE Fuel Esc Rates'!P361)/((1+DOEUPV_femp_disc)^$A149)+P148</f>
        <v>20.233765437906481</v>
      </c>
      <c r="Q149" s="15">
        <f>('DOE Fuel Esc Rates'!Q361)/((1+DOEUPV_femp_disc)^$A149)+Q148</f>
        <v>19.408873311105232</v>
      </c>
      <c r="R149" s="15">
        <f>('DOE Fuel Esc Rates'!R361)/((1+DOEUPV_femp_disc)^$A149)+R148</f>
        <v>16.245697765400816</v>
      </c>
      <c r="T149" s="33">
        <v>20</v>
      </c>
      <c r="U149" s="33"/>
    </row>
    <row r="150" spans="1:21" x14ac:dyDescent="0.2">
      <c r="A150" s="33">
        <v>21</v>
      </c>
      <c r="C150" s="15">
        <f>('DOE Fuel Esc Rates'!C362)/((1+DOEUPV_femp_disc)^$A150)+C149</f>
        <v>16.394073916953467</v>
      </c>
      <c r="D150" s="15">
        <f>('DOE Fuel Esc Rates'!D362)/((1+DOEUPV_femp_disc)^$A150)+D149</f>
        <v>17.756666024000186</v>
      </c>
      <c r="E150" s="15">
        <f>('DOE Fuel Esc Rates'!E362)/((1+DOEUPV_femp_disc)^$A150)+E149</f>
        <v>17.429382519654169</v>
      </c>
      <c r="F150" s="15">
        <f>('DOE Fuel Esc Rates'!F362)/((1+DOEUPV_femp_disc)^$A150)+F149</f>
        <v>16.829815856642426</v>
      </c>
      <c r="G150"/>
      <c r="H150" s="15">
        <f>('DOE Fuel Esc Rates'!H362)/((1+DOEUPV_femp_disc)^$A150)+H149</f>
        <v>15.812834608615855</v>
      </c>
      <c r="I150" s="15">
        <f>('DOE Fuel Esc Rates'!I362)/((1+DOEUPV_femp_disc)^$A150)+I149</f>
        <v>18.279024218786422</v>
      </c>
      <c r="J150" s="15">
        <f>('DOE Fuel Esc Rates'!J362)/((1+DOEUPV_femp_disc)^$A150)+J149</f>
        <v>21.189343006431763</v>
      </c>
      <c r="K150" s="15">
        <f>('DOE Fuel Esc Rates'!K362)/((1+DOEUPV_femp_disc)^$A150)+K149</f>
        <v>18.114440268069806</v>
      </c>
      <c r="L150" s="15">
        <f>('DOE Fuel Esc Rates'!L362)/((1+DOEUPV_femp_disc)^$A150)+L149</f>
        <v>17.182921248258705</v>
      </c>
      <c r="N150" s="15">
        <f>('DOE Fuel Esc Rates'!N362)/((1+DOEUPV_femp_disc)^$A150)+N149</f>
        <v>15.895337541972651</v>
      </c>
      <c r="O150" s="15">
        <f>('DOE Fuel Esc Rates'!O362)/((1+DOEUPV_femp_disc)^$A150)+O149</f>
        <v>17.743636943950637</v>
      </c>
      <c r="P150" s="15">
        <f>('DOE Fuel Esc Rates'!P362)/((1+DOEUPV_femp_disc)^$A150)+P149</f>
        <v>21.243052915822162</v>
      </c>
      <c r="Q150" s="15">
        <f>('DOE Fuel Esc Rates'!Q362)/((1+DOEUPV_femp_disc)^$A150)+Q149</f>
        <v>20.224035075733291</v>
      </c>
      <c r="R150" s="15">
        <f>('DOE Fuel Esc Rates'!R362)/((1+DOEUPV_femp_disc)^$A150)+R149</f>
        <v>16.882515722923749</v>
      </c>
      <c r="T150" s="33">
        <v>21</v>
      </c>
      <c r="U150" s="33"/>
    </row>
    <row r="151" spans="1:21" x14ac:dyDescent="0.2">
      <c r="A151" s="33">
        <v>22</v>
      </c>
      <c r="C151" s="15">
        <f>('DOE Fuel Esc Rates'!C363)/((1+DOEUPV_femp_disc)^$A151)+C150</f>
        <v>16.968377749839579</v>
      </c>
      <c r="D151" s="15">
        <f>('DOE Fuel Esc Rates'!D363)/((1+DOEUPV_femp_disc)^$A151)+D150</f>
        <v>18.526035769633172</v>
      </c>
      <c r="E151" s="15">
        <f>('DOE Fuel Esc Rates'!E363)/((1+DOEUPV_femp_disc)^$A151)+E150</f>
        <v>18.113174193725261</v>
      </c>
      <c r="F151" s="15">
        <f>('DOE Fuel Esc Rates'!F363)/((1+DOEUPV_femp_disc)^$A151)+F150</f>
        <v>17.449227832432889</v>
      </c>
      <c r="G151"/>
      <c r="H151" s="15">
        <f>('DOE Fuel Esc Rates'!H363)/((1+DOEUPV_femp_disc)^$A151)+H150</f>
        <v>16.350217445805029</v>
      </c>
      <c r="I151" s="15">
        <f>('DOE Fuel Esc Rates'!I363)/((1+DOEUPV_femp_disc)^$A151)+I150</f>
        <v>19.070355303704542</v>
      </c>
      <c r="J151" s="15">
        <f>('DOE Fuel Esc Rates'!J363)/((1+DOEUPV_femp_disc)^$A151)+J150</f>
        <v>22.19421263274808</v>
      </c>
      <c r="K151" s="15">
        <f>('DOE Fuel Esc Rates'!K363)/((1+DOEUPV_femp_disc)^$A151)+K150</f>
        <v>18.823226705079264</v>
      </c>
      <c r="L151" s="15">
        <f>('DOE Fuel Esc Rates'!L363)/((1+DOEUPV_femp_disc)^$A151)+L150</f>
        <v>17.834961504972359</v>
      </c>
      <c r="N151" s="15">
        <f>('DOE Fuel Esc Rates'!N363)/((1+DOEUPV_femp_disc)^$A151)+N150</f>
        <v>16.45571769041295</v>
      </c>
      <c r="O151" s="15">
        <f>('DOE Fuel Esc Rates'!O363)/((1+DOEUPV_femp_disc)^$A151)+O150</f>
        <v>18.514293929283397</v>
      </c>
      <c r="P151" s="15">
        <f>('DOE Fuel Esc Rates'!P363)/((1+DOEUPV_femp_disc)^$A151)+P150</f>
        <v>22.251400772465676</v>
      </c>
      <c r="Q151" s="15">
        <f>('DOE Fuel Esc Rates'!Q363)/((1+DOEUPV_femp_disc)^$A151)+Q150</f>
        <v>21.024539433953581</v>
      </c>
      <c r="R151" s="15">
        <f>('DOE Fuel Esc Rates'!R363)/((1+DOEUPV_femp_disc)^$A151)+R150</f>
        <v>17.506240906905376</v>
      </c>
      <c r="T151" s="33">
        <v>22</v>
      </c>
      <c r="U151" s="33"/>
    </row>
    <row r="152" spans="1:21" x14ac:dyDescent="0.2">
      <c r="A152" s="33">
        <v>23</v>
      </c>
      <c r="C152" s="15">
        <f>('DOE Fuel Esc Rates'!C364)/((1+DOEUPV_femp_disc)^$A152)+C151</f>
        <v>17.529547845121716</v>
      </c>
      <c r="D152" s="15">
        <f>('DOE Fuel Esc Rates'!D364)/((1+DOEUPV_femp_disc)^$A152)+D151</f>
        <v>19.290839667769454</v>
      </c>
      <c r="E152" s="15">
        <f>('DOE Fuel Esc Rates'!E364)/((1+DOEUPV_femp_disc)^$A152)+E151</f>
        <v>18.788446608221069</v>
      </c>
      <c r="F152" s="15">
        <f>('DOE Fuel Esc Rates'!F364)/((1+DOEUPV_femp_disc)^$A152)+F151</f>
        <v>18.054902278253632</v>
      </c>
      <c r="G152"/>
      <c r="H152" s="15">
        <f>('DOE Fuel Esc Rates'!H364)/((1+DOEUPV_femp_disc)^$A152)+H151</f>
        <v>16.87450821296768</v>
      </c>
      <c r="I152" s="15">
        <f>('DOE Fuel Esc Rates'!I364)/((1+DOEUPV_femp_disc)^$A152)+I151</f>
        <v>19.8571266625828</v>
      </c>
      <c r="J152" s="15">
        <f>('DOE Fuel Esc Rates'!J364)/((1+DOEUPV_femp_disc)^$A152)+J151</f>
        <v>23.198797600778761</v>
      </c>
      <c r="K152" s="15">
        <f>('DOE Fuel Esc Rates'!K364)/((1+DOEUPV_femp_disc)^$A152)+K151</f>
        <v>19.523922050880689</v>
      </c>
      <c r="L152" s="15">
        <f>('DOE Fuel Esc Rates'!L364)/((1+DOEUPV_femp_disc)^$A152)+L151</f>
        <v>18.474328150123046</v>
      </c>
      <c r="N152" s="15">
        <f>('DOE Fuel Esc Rates'!N364)/((1+DOEUPV_femp_disc)^$A152)+N151</f>
        <v>17.00500741769293</v>
      </c>
      <c r="O152" s="15">
        <f>('DOE Fuel Esc Rates'!O364)/((1+DOEUPV_femp_disc)^$A152)+O151</f>
        <v>19.280929749143361</v>
      </c>
      <c r="P152" s="15">
        <f>('DOE Fuel Esc Rates'!P364)/((1+DOEUPV_femp_disc)^$A152)+P151</f>
        <v>23.259571391254802</v>
      </c>
      <c r="Q152" s="15">
        <f>('DOE Fuel Esc Rates'!Q364)/((1+DOEUPV_femp_disc)^$A152)+Q151</f>
        <v>21.819369236616023</v>
      </c>
      <c r="R152" s="15">
        <f>('DOE Fuel Esc Rates'!R364)/((1+DOEUPV_femp_disc)^$A152)+R151</f>
        <v>18.115330290906229</v>
      </c>
      <c r="T152" s="33">
        <v>23</v>
      </c>
      <c r="U152" s="33"/>
    </row>
    <row r="153" spans="1:21" x14ac:dyDescent="0.2">
      <c r="A153" s="33">
        <v>24</v>
      </c>
      <c r="C153" s="15">
        <f>('DOE Fuel Esc Rates'!C365)/((1+DOEUPV_femp_disc)^$A153)+C152</f>
        <v>18.077582960754413</v>
      </c>
      <c r="D153" s="15">
        <f>('DOE Fuel Esc Rates'!D365)/((1+DOEUPV_femp_disc)^$A153)+D152</f>
        <v>20.050453700583141</v>
      </c>
      <c r="E153" s="15">
        <f>('DOE Fuel Esc Rates'!E365)/((1+DOEUPV_femp_disc)^$A153)+E152</f>
        <v>19.459726383394756</v>
      </c>
      <c r="F153" s="15">
        <f>('DOE Fuel Esc Rates'!F365)/((1+DOEUPV_femp_disc)^$A153)+F152</f>
        <v>18.648213507866505</v>
      </c>
      <c r="G153"/>
      <c r="H153" s="15">
        <f>('DOE Fuel Esc Rates'!H365)/((1+DOEUPV_femp_disc)^$A153)+H152</f>
        <v>17.386013673582141</v>
      </c>
      <c r="I153" s="15">
        <f>('DOE Fuel Esc Rates'!I365)/((1+DOEUPV_femp_disc)^$A153)+I152</f>
        <v>20.638447453879426</v>
      </c>
      <c r="J153" s="15">
        <f>('DOE Fuel Esc Rates'!J365)/((1+DOEUPV_femp_disc)^$A153)+J152</f>
        <v>24.217336603393864</v>
      </c>
      <c r="K153" s="15">
        <f>('DOE Fuel Esc Rates'!K365)/((1+DOEUPV_femp_disc)^$A153)+K152</f>
        <v>20.221936136227292</v>
      </c>
      <c r="L153" s="15">
        <f>('DOE Fuel Esc Rates'!L365)/((1+DOEUPV_femp_disc)^$A153)+L152</f>
        <v>19.104886605181669</v>
      </c>
      <c r="N153" s="15">
        <f>('DOE Fuel Esc Rates'!N365)/((1+DOEUPV_femp_disc)^$A153)+N152</f>
        <v>17.542651810948943</v>
      </c>
      <c r="O153" s="15">
        <f>('DOE Fuel Esc Rates'!O365)/((1+DOEUPV_femp_disc)^$A153)+O152</f>
        <v>20.042399660430561</v>
      </c>
      <c r="P153" s="15">
        <f>('DOE Fuel Esc Rates'!P365)/((1+DOEUPV_femp_disc)^$A153)+P152</f>
        <v>24.281902818627035</v>
      </c>
      <c r="Q153" s="15">
        <f>('DOE Fuel Esc Rates'!Q365)/((1+DOEUPV_femp_disc)^$A153)+Q152</f>
        <v>22.616739586814298</v>
      </c>
      <c r="R153" s="15">
        <f>('DOE Fuel Esc Rates'!R365)/((1+DOEUPV_femp_disc)^$A153)+R152</f>
        <v>18.711821371903266</v>
      </c>
      <c r="T153" s="33">
        <v>24</v>
      </c>
      <c r="U153" s="33"/>
    </row>
    <row r="154" spans="1:21" x14ac:dyDescent="0.2">
      <c r="A154" s="33">
        <v>25</v>
      </c>
      <c r="C154" s="15">
        <f>('DOE Fuel Esc Rates'!C366)/((1+DOEUPV_femp_disc)^$A154)+C153</f>
        <v>18.612094725502569</v>
      </c>
      <c r="D154" s="15">
        <f>('DOE Fuel Esc Rates'!D366)/((1+DOEUPV_femp_disc)^$A154)+D153</f>
        <v>20.804300985978294</v>
      </c>
      <c r="E154" s="15">
        <f>('DOE Fuel Esc Rates'!E366)/((1+DOEUPV_femp_disc)^$A154)+E153</f>
        <v>20.126225626722412</v>
      </c>
      <c r="F154" s="15">
        <f>('DOE Fuel Esc Rates'!F366)/((1+DOEUPV_femp_disc)^$A154)+F153</f>
        <v>19.230221903846516</v>
      </c>
      <c r="G154"/>
      <c r="H154" s="15">
        <f>('DOE Fuel Esc Rates'!H366)/((1+DOEUPV_femp_disc)^$A154)+H153</f>
        <v>17.885184634824988</v>
      </c>
      <c r="I154" s="15">
        <f>('DOE Fuel Esc Rates'!I366)/((1+DOEUPV_femp_disc)^$A154)+I153</f>
        <v>21.41373223396295</v>
      </c>
      <c r="J154" s="15">
        <f>('DOE Fuel Esc Rates'!J366)/((1+DOEUPV_femp_disc)^$A154)+J153</f>
        <v>25.260360819003086</v>
      </c>
      <c r="K154" s="15">
        <f>('DOE Fuel Esc Rates'!K366)/((1+DOEUPV_femp_disc)^$A154)+K153</f>
        <v>20.916292881629097</v>
      </c>
      <c r="L154" s="15">
        <f>('DOE Fuel Esc Rates'!L366)/((1+DOEUPV_femp_disc)^$A154)+L153</f>
        <v>19.723034461657484</v>
      </c>
      <c r="N154" s="15">
        <f>('DOE Fuel Esc Rates'!N366)/((1+DOEUPV_femp_disc)^$A154)+N153</f>
        <v>18.068393634733042</v>
      </c>
      <c r="O154" s="15">
        <f>('DOE Fuel Esc Rates'!O366)/((1+DOEUPV_femp_disc)^$A154)+O153</f>
        <v>20.798588920460571</v>
      </c>
      <c r="P154" s="15">
        <f>('DOE Fuel Esc Rates'!P366)/((1+DOEUPV_femp_disc)^$A154)+P153</f>
        <v>25.32850761546586</v>
      </c>
      <c r="Q154" s="15">
        <f>('DOE Fuel Esc Rates'!Q366)/((1+DOEUPV_femp_disc)^$A154)+Q153</f>
        <v>23.414904406624885</v>
      </c>
      <c r="R154" s="15">
        <f>('DOE Fuel Esc Rates'!R366)/((1+DOEUPV_femp_disc)^$A154)+R153</f>
        <v>19.29426718807602</v>
      </c>
      <c r="T154" s="33">
        <v>25</v>
      </c>
      <c r="U154" s="33"/>
    </row>
    <row r="155" spans="1:21" x14ac:dyDescent="0.2">
      <c r="A155" s="33">
        <v>26</v>
      </c>
      <c r="C155" s="15">
        <f>('DOE Fuel Esc Rates'!C367)/((1+DOEUPV_femp_disc)^$A155)+C154</f>
        <v>19.133011355476039</v>
      </c>
      <c r="D155" s="15">
        <f>('DOE Fuel Esc Rates'!D367)/((1+DOEUPV_femp_disc)^$A155)+D154</f>
        <v>21.551849359880599</v>
      </c>
      <c r="E155" s="15">
        <f>('DOE Fuel Esc Rates'!E367)/((1+DOEUPV_femp_disc)^$A155)+E154</f>
        <v>20.781569252755464</v>
      </c>
      <c r="F155" s="15">
        <f>('DOE Fuel Esc Rates'!F367)/((1+DOEUPV_femp_disc)^$A155)+F154</f>
        <v>19.79963156691025</v>
      </c>
      <c r="G155"/>
      <c r="H155" s="15">
        <f>('DOE Fuel Esc Rates'!H367)/((1+DOEUPV_femp_disc)^$A155)+H154</f>
        <v>18.370987952046637</v>
      </c>
      <c r="I155" s="15">
        <f>('DOE Fuel Esc Rates'!I367)/((1+DOEUPV_femp_disc)^$A155)+I154</f>
        <v>22.182441146018302</v>
      </c>
      <c r="J155" s="15">
        <f>('DOE Fuel Esc Rates'!J367)/((1+DOEUPV_femp_disc)^$A155)+J154</f>
        <v>26.311370625117529</v>
      </c>
      <c r="K155" s="15">
        <f>('DOE Fuel Esc Rates'!K367)/((1+DOEUPV_femp_disc)^$A155)+K154</f>
        <v>21.599824861603199</v>
      </c>
      <c r="L155" s="15">
        <f>('DOE Fuel Esc Rates'!L367)/((1+DOEUPV_femp_disc)^$A155)+L154</f>
        <v>20.326647049495136</v>
      </c>
      <c r="N155" s="15">
        <f>('DOE Fuel Esc Rates'!N367)/((1+DOEUPV_femp_disc)^$A155)+N154</f>
        <v>18.581558251972016</v>
      </c>
      <c r="O155" s="15">
        <f>('DOE Fuel Esc Rates'!O367)/((1+DOEUPV_femp_disc)^$A155)+O154</f>
        <v>21.548703437771408</v>
      </c>
      <c r="P155" s="15">
        <f>('DOE Fuel Esc Rates'!P367)/((1+DOEUPV_femp_disc)^$A155)+P154</f>
        <v>26.383747056920562</v>
      </c>
      <c r="Q155" s="15">
        <f>('DOE Fuel Esc Rates'!Q367)/((1+DOEUPV_femp_disc)^$A155)+Q154</f>
        <v>24.205965817844927</v>
      </c>
      <c r="R155" s="15">
        <f>('DOE Fuel Esc Rates'!R367)/((1+DOEUPV_femp_disc)^$A155)+R154</f>
        <v>19.864595546214669</v>
      </c>
      <c r="T155" s="33">
        <v>26</v>
      </c>
      <c r="U155" s="33"/>
    </row>
    <row r="156" spans="1:21" x14ac:dyDescent="0.2">
      <c r="A156" s="33">
        <v>27</v>
      </c>
      <c r="C156" s="15">
        <f>('DOE Fuel Esc Rates'!C368)/((1+DOEUPV_femp_disc)^$A156)+C155</f>
        <v>19.640543641323486</v>
      </c>
      <c r="D156" s="15">
        <f>('DOE Fuel Esc Rates'!D368)/((1+DOEUPV_femp_disc)^$A156)+D155</f>
        <v>22.292826233142545</v>
      </c>
      <c r="E156" s="15">
        <f>('DOE Fuel Esc Rates'!E368)/((1+DOEUPV_femp_disc)^$A156)+E155</f>
        <v>21.424575926594901</v>
      </c>
      <c r="F156" s="15">
        <f>('DOE Fuel Esc Rates'!F368)/((1+DOEUPV_femp_disc)^$A156)+F155</f>
        <v>20.356280171401746</v>
      </c>
      <c r="G156"/>
      <c r="H156" s="15">
        <f>('DOE Fuel Esc Rates'!H368)/((1+DOEUPV_femp_disc)^$A156)+H155</f>
        <v>18.843352408096173</v>
      </c>
      <c r="I156" s="15">
        <f>('DOE Fuel Esc Rates'!I368)/((1+DOEUPV_femp_disc)^$A156)+I155</f>
        <v>22.944299548083059</v>
      </c>
      <c r="J156" s="15">
        <f>('DOE Fuel Esc Rates'!J368)/((1+DOEUPV_femp_disc)^$A156)+J155</f>
        <v>27.363957702387516</v>
      </c>
      <c r="K156" s="15">
        <f>('DOE Fuel Esc Rates'!K368)/((1+DOEUPV_femp_disc)^$A156)+K155</f>
        <v>22.271559657649753</v>
      </c>
      <c r="L156" s="15">
        <f>('DOE Fuel Esc Rates'!L368)/((1+DOEUPV_femp_disc)^$A156)+L155</f>
        <v>20.916046686095903</v>
      </c>
      <c r="N156" s="15">
        <f>('DOE Fuel Esc Rates'!N368)/((1+DOEUPV_femp_disc)^$A156)+N155</f>
        <v>19.082210977705373</v>
      </c>
      <c r="O156" s="15">
        <f>('DOE Fuel Esc Rates'!O368)/((1+DOEUPV_femp_disc)^$A156)+O155</f>
        <v>22.292455578058259</v>
      </c>
      <c r="P156" s="15">
        <f>('DOE Fuel Esc Rates'!P368)/((1+DOEUPV_femp_disc)^$A156)+P155</f>
        <v>27.440672391547064</v>
      </c>
      <c r="Q156" s="15">
        <f>('DOE Fuel Esc Rates'!Q368)/((1+DOEUPV_femp_disc)^$A156)+Q155</f>
        <v>24.987048183457475</v>
      </c>
      <c r="R156" s="15">
        <f>('DOE Fuel Esc Rates'!R368)/((1+DOEUPV_femp_disc)^$A156)+R155</f>
        <v>20.424586810703509</v>
      </c>
      <c r="T156" s="33">
        <v>27</v>
      </c>
      <c r="U156" s="33"/>
    </row>
    <row r="157" spans="1:21" x14ac:dyDescent="0.2">
      <c r="A157" s="33">
        <v>28</v>
      </c>
      <c r="C157" s="15">
        <f>('DOE Fuel Esc Rates'!C369)/((1+DOEUPV_femp_disc)^$A157)+C156</f>
        <v>20.135029341080553</v>
      </c>
      <c r="D157" s="15">
        <f>('DOE Fuel Esc Rates'!D369)/((1+DOEUPV_femp_disc)^$A157)+D156</f>
        <v>23.027612767054237</v>
      </c>
      <c r="E157" s="15">
        <f>('DOE Fuel Esc Rates'!E369)/((1+DOEUPV_femp_disc)^$A157)+E156</f>
        <v>22.054998722404914</v>
      </c>
      <c r="F157" s="15">
        <f>('DOE Fuel Esc Rates'!F369)/((1+DOEUPV_femp_disc)^$A157)+F156</f>
        <v>20.90042802905916</v>
      </c>
      <c r="G157"/>
      <c r="H157" s="15">
        <f>('DOE Fuel Esc Rates'!H369)/((1+DOEUPV_femp_disc)^$A157)+H156</f>
        <v>19.30264872465796</v>
      </c>
      <c r="I157" s="15">
        <f>('DOE Fuel Esc Rates'!I369)/((1+DOEUPV_femp_disc)^$A157)+I156</f>
        <v>23.699700938547725</v>
      </c>
      <c r="J157" s="15">
        <f>('DOE Fuel Esc Rates'!J369)/((1+DOEUPV_femp_disc)^$A157)+J156</f>
        <v>28.418477917901861</v>
      </c>
      <c r="K157" s="15">
        <f>('DOE Fuel Esc Rates'!K369)/((1+DOEUPV_femp_disc)^$A157)+K156</f>
        <v>22.931604619363199</v>
      </c>
      <c r="L157" s="15">
        <f>('DOE Fuel Esc Rates'!L369)/((1+DOEUPV_femp_disc)^$A157)+L156</f>
        <v>21.492639210851902</v>
      </c>
      <c r="N157" s="15">
        <f>('DOE Fuel Esc Rates'!N369)/((1+DOEUPV_femp_disc)^$A157)+N156</f>
        <v>19.570645323799955</v>
      </c>
      <c r="O157" s="15">
        <f>('DOE Fuel Esc Rates'!O369)/((1+DOEUPV_femp_disc)^$A157)+O156</f>
        <v>23.030223955031435</v>
      </c>
      <c r="P157" s="15">
        <f>('DOE Fuel Esc Rates'!P369)/((1+DOEUPV_femp_disc)^$A157)+P156</f>
        <v>28.499639216358126</v>
      </c>
      <c r="Q157" s="15">
        <f>('DOE Fuel Esc Rates'!Q369)/((1+DOEUPV_femp_disc)^$A157)+Q156</f>
        <v>25.758907130545673</v>
      </c>
      <c r="R157" s="15">
        <f>('DOE Fuel Esc Rates'!R369)/((1+DOEUPV_femp_disc)^$A157)+R156</f>
        <v>20.972836396561881</v>
      </c>
      <c r="T157" s="33">
        <v>28</v>
      </c>
      <c r="U157" s="33"/>
    </row>
    <row r="158" spans="1:21" x14ac:dyDescent="0.2">
      <c r="A158" s="33">
        <v>29</v>
      </c>
      <c r="C158" s="15">
        <f>('DOE Fuel Esc Rates'!C370)/((1+DOEUPV_femp_disc)^$A158)+C157</f>
        <v>20.616797891982721</v>
      </c>
      <c r="D158" s="15">
        <f>('DOE Fuel Esc Rates'!D370)/((1+DOEUPV_femp_disc)^$A158)+D157</f>
        <v>23.756145667889079</v>
      </c>
      <c r="E158" s="15">
        <f>('DOE Fuel Esc Rates'!E370)/((1+DOEUPV_femp_disc)^$A158)+E157</f>
        <v>22.67382059657638</v>
      </c>
      <c r="F158" s="15">
        <f>('DOE Fuel Esc Rates'!F370)/((1+DOEUPV_femp_disc)^$A158)+F157</f>
        <v>21.432331113499519</v>
      </c>
      <c r="G158"/>
      <c r="H158" s="15">
        <f>('DOE Fuel Esc Rates'!H370)/((1+DOEUPV_femp_disc)^$A158)+H157</f>
        <v>19.749371418662637</v>
      </c>
      <c r="I158" s="15">
        <f>('DOE Fuel Esc Rates'!I370)/((1+DOEUPV_femp_disc)^$A158)+I157</f>
        <v>24.448793629395336</v>
      </c>
      <c r="J158" s="15">
        <f>('DOE Fuel Esc Rates'!J370)/((1+DOEUPV_femp_disc)^$A158)+J157</f>
        <v>29.47479261139366</v>
      </c>
      <c r="K158" s="15">
        <f>('DOE Fuel Esc Rates'!K370)/((1+DOEUPV_femp_disc)^$A158)+K157</f>
        <v>23.58007085094313</v>
      </c>
      <c r="L158" s="15">
        <f>('DOE Fuel Esc Rates'!L370)/((1+DOEUPV_femp_disc)^$A158)+L157</f>
        <v>22.055612439640772</v>
      </c>
      <c r="N158" s="15">
        <f>('DOE Fuel Esc Rates'!N370)/((1+DOEUPV_femp_disc)^$A158)+N157</f>
        <v>20.047148318635923</v>
      </c>
      <c r="O158" s="15">
        <f>('DOE Fuel Esc Rates'!O370)/((1+DOEUPV_femp_disc)^$A158)+O157</f>
        <v>23.762143233497213</v>
      </c>
      <c r="P158" s="15">
        <f>('DOE Fuel Esc Rates'!P370)/((1+DOEUPV_femp_disc)^$A158)+P157</f>
        <v>29.560068551780002</v>
      </c>
      <c r="Q158" s="15">
        <f>('DOE Fuel Esc Rates'!Q370)/((1+DOEUPV_femp_disc)^$A158)+Q157</f>
        <v>26.521417325087231</v>
      </c>
      <c r="R158" s="15">
        <f>('DOE Fuel Esc Rates'!R370)/((1+DOEUPV_femp_disc)^$A158)+R157</f>
        <v>21.511031782895344</v>
      </c>
      <c r="T158" s="33">
        <v>29</v>
      </c>
      <c r="U158" s="33"/>
    </row>
    <row r="159" spans="1:21" x14ac:dyDescent="0.2">
      <c r="A159" s="33">
        <v>30</v>
      </c>
      <c r="C159" s="15">
        <f>('DOE Fuel Esc Rates'!C371)/((1+DOEUPV_femp_disc)^$A159)+C158</f>
        <v>21.086170608639708</v>
      </c>
      <c r="D159" s="15">
        <f>('DOE Fuel Esc Rates'!D371)/((1+DOEUPV_femp_disc)^$A159)+D158</f>
        <v>24.478762097025516</v>
      </c>
      <c r="E159" s="15">
        <f>('DOE Fuel Esc Rates'!E371)/((1+DOEUPV_femp_disc)^$A159)+E158</f>
        <v>23.280796403473293</v>
      </c>
      <c r="F159" s="15">
        <f>('DOE Fuel Esc Rates'!F371)/((1+DOEUPV_femp_disc)^$A159)+F158</f>
        <v>21.952241092092905</v>
      </c>
      <c r="G159"/>
      <c r="H159" s="15">
        <f>('DOE Fuel Esc Rates'!H371)/((1+DOEUPV_femp_disc)^$A159)+H158</f>
        <v>20.183733209007951</v>
      </c>
      <c r="I159" s="15">
        <f>('DOE Fuel Esc Rates'!I371)/((1+DOEUPV_femp_disc)^$A159)+I158</f>
        <v>25.191710581836002</v>
      </c>
      <c r="J159" s="15">
        <f>('DOE Fuel Esc Rates'!J371)/((1+DOEUPV_femp_disc)^$A159)+J158</f>
        <v>30.532744310497836</v>
      </c>
      <c r="K159" s="15">
        <f>('DOE Fuel Esc Rates'!K371)/((1+DOEUPV_femp_disc)^$A159)+K158</f>
        <v>24.217072901410855</v>
      </c>
      <c r="L159" s="15">
        <f>('DOE Fuel Esc Rates'!L371)/((1+DOEUPV_femp_disc)^$A159)+L158</f>
        <v>22.606297983532357</v>
      </c>
      <c r="N159" s="15">
        <f>('DOE Fuel Esc Rates'!N371)/((1+DOEUPV_femp_disc)^$A159)+N158</f>
        <v>20.512203185818088</v>
      </c>
      <c r="O159" s="15">
        <f>('DOE Fuel Esc Rates'!O371)/((1+DOEUPV_femp_disc)^$A159)+O158</f>
        <v>24.488333162924022</v>
      </c>
      <c r="P159" s="15">
        <f>('DOE Fuel Esc Rates'!P371)/((1+DOEUPV_femp_disc)^$A159)+P158</f>
        <v>30.62224840707513</v>
      </c>
      <c r="Q159" s="15">
        <f>('DOE Fuel Esc Rates'!Q371)/((1+DOEUPV_femp_disc)^$A159)+Q158</f>
        <v>27.274468558631781</v>
      </c>
      <c r="R159" s="15">
        <f>('DOE Fuel Esc Rates'!R371)/((1+DOEUPV_femp_disc)^$A159)+R158</f>
        <v>22.037858057258891</v>
      </c>
      <c r="T159" s="33">
        <v>30</v>
      </c>
      <c r="U159" s="33"/>
    </row>
    <row r="160" spans="1:21" ht="3" customHeight="1" x14ac:dyDescent="0.2">
      <c r="G160"/>
      <c r="H160"/>
      <c r="I160"/>
      <c r="J160"/>
      <c r="K160"/>
      <c r="L160"/>
      <c r="N160"/>
      <c r="O160"/>
      <c r="P160"/>
      <c r="Q160"/>
      <c r="R160"/>
    </row>
    <row r="161" spans="1:24" ht="21" x14ac:dyDescent="0.4">
      <c r="A161" s="17" t="s">
        <v>107</v>
      </c>
      <c r="B161" s="34"/>
      <c r="C161" s="26"/>
      <c r="D161" s="7"/>
      <c r="E161" s="7"/>
      <c r="F161" s="7"/>
      <c r="G161" s="7"/>
      <c r="H161" s="7"/>
      <c r="I161" s="7"/>
      <c r="J161" s="7"/>
      <c r="K161" s="7"/>
      <c r="L161" s="7"/>
      <c r="M161" s="4"/>
      <c r="N161" s="4"/>
      <c r="O161" s="4"/>
      <c r="P161" s="4"/>
      <c r="Q161" s="4"/>
      <c r="R161" s="4"/>
      <c r="S161" s="34"/>
      <c r="T161" s="4"/>
      <c r="U161" s="17"/>
    </row>
    <row r="162" spans="1:24" ht="18.75" x14ac:dyDescent="0.3">
      <c r="A162" s="18" t="s">
        <v>108</v>
      </c>
      <c r="B162" s="35"/>
      <c r="C162" s="26"/>
      <c r="D162" s="7"/>
      <c r="E162" s="7"/>
      <c r="F162" s="7"/>
      <c r="G162" s="7"/>
      <c r="H162" s="7"/>
      <c r="I162" s="7"/>
      <c r="J162" s="7"/>
      <c r="K162" s="7"/>
      <c r="L162" s="7"/>
      <c r="M162" s="4"/>
      <c r="N162" s="4"/>
      <c r="O162" s="4"/>
      <c r="P162" s="4"/>
      <c r="Q162" s="4"/>
      <c r="R162" s="4"/>
      <c r="S162" s="35"/>
      <c r="T162" s="4"/>
      <c r="U162" s="18"/>
    </row>
    <row r="163" spans="1:24" ht="18.75" x14ac:dyDescent="0.3">
      <c r="A163" s="18"/>
      <c r="B163" s="35"/>
      <c r="C163" s="26"/>
      <c r="D163" s="7"/>
      <c r="E163" s="7"/>
      <c r="F163" s="7"/>
      <c r="G163" s="7"/>
      <c r="H163" s="7"/>
      <c r="I163"/>
      <c r="J163"/>
      <c r="K163"/>
      <c r="L163"/>
      <c r="M163" s="28" t="str">
        <f>$M$3</f>
        <v>DOE discount rate (2015 data) =</v>
      </c>
      <c r="N163" s="39">
        <f>'General Data'!$M$10</f>
        <v>0.03</v>
      </c>
      <c r="O163" s="4"/>
      <c r="P163" s="4"/>
      <c r="Q163" s="4"/>
      <c r="R163" s="4"/>
      <c r="S163" s="35"/>
      <c r="T163" s="4"/>
      <c r="U163" s="18"/>
      <c r="X163" s="1"/>
    </row>
    <row r="164" spans="1:24" ht="4.5" customHeight="1" x14ac:dyDescent="0.3">
      <c r="A164" s="18"/>
      <c r="B164" s="35"/>
      <c r="C164" s="26"/>
      <c r="D164" s="7"/>
      <c r="E164" s="7"/>
      <c r="F164" s="7"/>
      <c r="G164" s="7"/>
      <c r="H164" s="7"/>
      <c r="I164"/>
      <c r="J164"/>
      <c r="K164" s="28"/>
      <c r="L164" s="36"/>
      <c r="M164" s="4"/>
      <c r="N164" s="4"/>
      <c r="O164" s="4"/>
      <c r="P164" s="4"/>
      <c r="Q164" s="4"/>
      <c r="R164" s="4"/>
      <c r="S164" s="35"/>
      <c r="T164" s="4"/>
      <c r="U164" s="18"/>
      <c r="X164" s="1"/>
    </row>
    <row r="165" spans="1:24" ht="15.75" customHeight="1" x14ac:dyDescent="0.25">
      <c r="A165" s="31" t="s">
        <v>119</v>
      </c>
      <c r="B165" s="4"/>
      <c r="C165" s="4"/>
      <c r="D165" s="4"/>
      <c r="E165" s="4"/>
      <c r="F165" s="4"/>
      <c r="G165" s="4"/>
      <c r="H165" s="4"/>
      <c r="I165" s="4"/>
      <c r="J165" s="4"/>
      <c r="K165" s="4"/>
      <c r="L165" s="4"/>
      <c r="M165" s="4"/>
      <c r="N165" s="4"/>
      <c r="O165" s="4"/>
      <c r="P165" s="4"/>
      <c r="Q165" s="4"/>
      <c r="R165" s="4"/>
      <c r="S165" s="4"/>
      <c r="T165" s="31"/>
      <c r="U165"/>
    </row>
    <row r="166" spans="1:24" ht="15" x14ac:dyDescent="0.2">
      <c r="A166" s="37"/>
      <c r="B166" s="4"/>
      <c r="C166" s="4"/>
      <c r="D166" s="4"/>
      <c r="E166" s="4"/>
      <c r="F166" s="4"/>
      <c r="G166" s="4"/>
      <c r="H166" s="4"/>
      <c r="I166" s="4"/>
      <c r="J166" s="4"/>
      <c r="K166" s="4"/>
      <c r="L166" s="4"/>
      <c r="M166" s="4"/>
      <c r="N166" s="4"/>
      <c r="O166" s="4"/>
      <c r="P166" s="4"/>
      <c r="Q166" s="4"/>
      <c r="R166" s="4"/>
      <c r="S166" s="4"/>
      <c r="T166" s="4"/>
      <c r="U166"/>
    </row>
    <row r="167" spans="1:24" ht="4.5" customHeight="1" x14ac:dyDescent="0.2">
      <c r="D167" s="4"/>
      <c r="E167" s="4"/>
      <c r="F167" s="4"/>
      <c r="G167" s="12"/>
      <c r="H167" s="12"/>
      <c r="I167" s="12"/>
      <c r="J167" s="12"/>
      <c r="K167" s="12"/>
      <c r="L167" s="12"/>
      <c r="N167" s="12"/>
      <c r="O167" s="12"/>
      <c r="P167" s="12"/>
      <c r="Q167" s="12"/>
      <c r="R167" s="12"/>
    </row>
    <row r="168" spans="1:24" x14ac:dyDescent="0.2">
      <c r="A168"/>
      <c r="C168" s="29" t="s">
        <v>111</v>
      </c>
      <c r="D168" s="4"/>
      <c r="E168" s="4"/>
      <c r="F168" s="4"/>
      <c r="G168" s="12"/>
      <c r="H168" s="29" t="s">
        <v>112</v>
      </c>
      <c r="I168" s="4"/>
      <c r="J168" s="4"/>
      <c r="K168" s="4"/>
      <c r="L168" s="4"/>
      <c r="N168" s="29" t="s">
        <v>113</v>
      </c>
      <c r="O168" s="4"/>
      <c r="P168" s="4"/>
      <c r="Q168" s="4"/>
      <c r="R168" s="4"/>
      <c r="T168"/>
    </row>
    <row r="169" spans="1:24" x14ac:dyDescent="0.2">
      <c r="A169" s="1" t="s">
        <v>114</v>
      </c>
      <c r="C169" s="32" t="str">
        <f>'DOE Fuel Esc Rates'!C378</f>
        <v>Electric</v>
      </c>
      <c r="D169" s="32" t="str">
        <f>'DOE Fuel Esc Rates'!D378</f>
        <v>Dist</v>
      </c>
      <c r="E169" s="32" t="str">
        <f>'DOE Fuel Esc Rates'!E378</f>
        <v>Nat Gas</v>
      </c>
      <c r="F169" s="32" t="str">
        <f>'DOE Fuel Esc Rates'!F378</f>
        <v>LPG</v>
      </c>
      <c r="G169" s="32"/>
      <c r="H169" s="32" t="str">
        <f>'DOE Fuel Esc Rates'!H378</f>
        <v>Electric</v>
      </c>
      <c r="I169" s="32" t="str">
        <f>'DOE Fuel Esc Rates'!I378</f>
        <v>Dist</v>
      </c>
      <c r="J169" s="32" t="str">
        <f>'DOE Fuel Esc Rates'!J378</f>
        <v>Resid</v>
      </c>
      <c r="K169" s="32" t="str">
        <f>'DOE Fuel Esc Rates'!K378</f>
        <v>Nat Gas</v>
      </c>
      <c r="L169" s="32" t="str">
        <f>'DOE Fuel Esc Rates'!L378</f>
        <v>Coal</v>
      </c>
      <c r="M169" s="32"/>
      <c r="N169" s="32" t="str">
        <f>'DOE Fuel Esc Rates'!N378</f>
        <v>Electric</v>
      </c>
      <c r="O169" s="32" t="str">
        <f>'DOE Fuel Esc Rates'!O378</f>
        <v>Dist</v>
      </c>
      <c r="P169" s="32" t="str">
        <f>'DOE Fuel Esc Rates'!P378</f>
        <v>Resid</v>
      </c>
      <c r="Q169" s="32" t="str">
        <f>'DOE Fuel Esc Rates'!Q378</f>
        <v>Nat Gas</v>
      </c>
      <c r="R169" s="32" t="str">
        <f>'DOE Fuel Esc Rates'!R378</f>
        <v>Coal</v>
      </c>
      <c r="T169" s="1" t="s">
        <v>114</v>
      </c>
    </row>
    <row r="170" spans="1:24" x14ac:dyDescent="0.2">
      <c r="A170" s="33">
        <v>1</v>
      </c>
      <c r="C170" s="15">
        <f>('DOE Fuel Esc Rates'!C379)/((1+DOEUPV_femp_disc)^$A170)</f>
        <v>0.99473424387033083</v>
      </c>
      <c r="D170" s="15">
        <f>('DOE Fuel Esc Rates'!D379)/((1+DOEUPV_femp_disc)^$A170)</f>
        <v>0.9556369246299109</v>
      </c>
      <c r="E170" s="15">
        <f>('DOE Fuel Esc Rates'!E379)/((1+DOEUPV_femp_disc)^$A170)</f>
        <v>0.95683028901517653</v>
      </c>
      <c r="F170" s="15">
        <f>('DOE Fuel Esc Rates'!F379)/((1+DOEUPV_femp_disc)^$A170)</f>
        <v>0.98028234640525791</v>
      </c>
      <c r="G170"/>
      <c r="H170" s="15">
        <f>('DOE Fuel Esc Rates'!H379)/((1+DOEUPV_femp_disc)^$A170)</f>
        <v>0.9835713308980093</v>
      </c>
      <c r="I170" s="15">
        <f>('DOE Fuel Esc Rates'!I379)/((1+DOEUPV_femp_disc)^$A170)</f>
        <v>0.95531646985040664</v>
      </c>
      <c r="J170" s="15">
        <f>('DOE Fuel Esc Rates'!J379)/((1+DOEUPV_femp_disc)^$A170)</f>
        <v>0.97841162636434886</v>
      </c>
      <c r="K170" s="15">
        <f>('DOE Fuel Esc Rates'!K379)/((1+DOEUPV_femp_disc)^$A170)</f>
        <v>0.970873786407767</v>
      </c>
      <c r="L170" s="15">
        <f>('DOE Fuel Esc Rates'!L379)/((1+DOEUPV_femp_disc)^$A170)</f>
        <v>0.98338504654188785</v>
      </c>
      <c r="N170" s="15">
        <f>('DOE Fuel Esc Rates'!N379)/((1+DOEUPV_femp_disc)^$A170)</f>
        <v>0.97227005743328154</v>
      </c>
      <c r="O170" s="15">
        <f>('DOE Fuel Esc Rates'!O379)/((1+DOEUPV_femp_disc)^$A170)</f>
        <v>0.95521453178828675</v>
      </c>
      <c r="P170" s="15">
        <f>('DOE Fuel Esc Rates'!P379)/((1+DOEUPV_femp_disc)^$A170)</f>
        <v>0.97920031973887989</v>
      </c>
      <c r="Q170" s="15">
        <f>('DOE Fuel Esc Rates'!Q379)/((1+DOEUPV_femp_disc)^$A170)</f>
        <v>0.94237853900795832</v>
      </c>
      <c r="R170" s="15">
        <f>('DOE Fuel Esc Rates'!R379)/((1+DOEUPV_femp_disc)^$A170)</f>
        <v>0.98643266118994266</v>
      </c>
      <c r="T170" s="33">
        <v>1</v>
      </c>
      <c r="U170" s="33"/>
    </row>
    <row r="171" spans="1:24" x14ac:dyDescent="0.2">
      <c r="A171" s="33">
        <v>2</v>
      </c>
      <c r="C171" s="15">
        <f>('DOE Fuel Esc Rates'!C380)/((1+DOEUPV_femp_disc)^$A171)+C170</f>
        <v>1.9738091472276231</v>
      </c>
      <c r="D171" s="15">
        <f>('DOE Fuel Esc Rates'!D380)/((1+DOEUPV_femp_disc)^$A171)+D170</f>
        <v>1.9208847217222498</v>
      </c>
      <c r="E171" s="15">
        <f>('DOE Fuel Esc Rates'!E380)/((1+DOEUPV_femp_disc)^$A171)+E170</f>
        <v>1.8948813769862802</v>
      </c>
      <c r="F171" s="15">
        <f>('DOE Fuel Esc Rates'!F380)/((1+DOEUPV_femp_disc)^$A171)+F170</f>
        <v>1.957676443231998</v>
      </c>
      <c r="G171"/>
      <c r="H171" s="15">
        <f>('DOE Fuel Esc Rates'!H380)/((1+DOEUPV_femp_disc)^$A171)+H170</f>
        <v>1.9467134285273016</v>
      </c>
      <c r="I171" s="15">
        <f>('DOE Fuel Esc Rates'!I380)/((1+DOEUPV_femp_disc)^$A171)+I170</f>
        <v>1.9120725578895255</v>
      </c>
      <c r="J171" s="15">
        <f>('DOE Fuel Esc Rates'!J380)/((1+DOEUPV_femp_disc)^$A171)+J170</f>
        <v>1.9758947196479726</v>
      </c>
      <c r="K171" s="15">
        <f>('DOE Fuel Esc Rates'!K380)/((1+DOEUPV_femp_disc)^$A171)+K170</f>
        <v>1.9156849620729755</v>
      </c>
      <c r="L171" s="15">
        <f>('DOE Fuel Esc Rates'!L380)/((1+DOEUPV_femp_disc)^$A171)+L170</f>
        <v>1.9527040355737642</v>
      </c>
      <c r="N171" s="15">
        <f>('DOE Fuel Esc Rates'!N380)/((1+DOEUPV_femp_disc)^$A171)+N170</f>
        <v>1.9175771724418214</v>
      </c>
      <c r="O171" s="15">
        <f>('DOE Fuel Esc Rates'!O380)/((1+DOEUPV_femp_disc)^$A171)+O170</f>
        <v>1.9010353536121372</v>
      </c>
      <c r="P171" s="15">
        <f>('DOE Fuel Esc Rates'!P380)/((1+DOEUPV_femp_disc)^$A171)+P170</f>
        <v>2.0034447595951979</v>
      </c>
      <c r="Q171" s="15">
        <f>('DOE Fuel Esc Rates'!Q380)/((1+DOEUPV_femp_disc)^$A171)+Q170</f>
        <v>1.9106636448266998</v>
      </c>
      <c r="R171" s="15">
        <f>('DOE Fuel Esc Rates'!R380)/((1+DOEUPV_femp_disc)^$A171)+R170</f>
        <v>1.9622611184021308</v>
      </c>
      <c r="T171" s="33">
        <v>2</v>
      </c>
      <c r="U171" s="33"/>
    </row>
    <row r="172" spans="1:24" x14ac:dyDescent="0.2">
      <c r="A172" s="33">
        <v>3</v>
      </c>
      <c r="C172" s="15">
        <f>('DOE Fuel Esc Rates'!C381)/((1+DOEUPV_femp_disc)^$A172)+C171</f>
        <v>2.9238502766408607</v>
      </c>
      <c r="D172" s="15">
        <f>('DOE Fuel Esc Rates'!D381)/((1+DOEUPV_femp_disc)^$A172)+D171</f>
        <v>2.863853150511356</v>
      </c>
      <c r="E172" s="15">
        <f>('DOE Fuel Esc Rates'!E381)/((1+DOEUPV_femp_disc)^$A172)+E171</f>
        <v>2.8214954004393347</v>
      </c>
      <c r="F172" s="15">
        <f>('DOE Fuel Esc Rates'!F381)/((1+DOEUPV_femp_disc)^$A172)+F171</f>
        <v>2.91631583720139</v>
      </c>
      <c r="G172"/>
      <c r="H172" s="15">
        <f>('DOE Fuel Esc Rates'!H381)/((1+DOEUPV_femp_disc)^$A172)+H171</f>
        <v>2.8787339581904621</v>
      </c>
      <c r="I172" s="15">
        <f>('DOE Fuel Esc Rates'!I381)/((1+DOEUPV_femp_disc)^$A172)+I171</f>
        <v>2.8455445459227686</v>
      </c>
      <c r="J172" s="15">
        <f>('DOE Fuel Esc Rates'!J381)/((1+DOEUPV_femp_disc)^$A172)+J171</f>
        <v>2.9464564484340099</v>
      </c>
      <c r="K172" s="15">
        <f>('DOE Fuel Esc Rates'!K381)/((1+DOEUPV_femp_disc)^$A172)+K171</f>
        <v>2.8362034819393731</v>
      </c>
      <c r="L172" s="15">
        <f>('DOE Fuel Esc Rates'!L381)/((1+DOEUPV_femp_disc)^$A172)+L171</f>
        <v>2.9008662702644088</v>
      </c>
      <c r="N172" s="15">
        <f>('DOE Fuel Esc Rates'!N381)/((1+DOEUPV_femp_disc)^$A172)+N171</f>
        <v>2.8283317672726742</v>
      </c>
      <c r="O172" s="15">
        <f>('DOE Fuel Esc Rates'!O381)/((1+DOEUPV_femp_disc)^$A172)+O171</f>
        <v>2.8210971294134319</v>
      </c>
      <c r="P172" s="15">
        <f>('DOE Fuel Esc Rates'!P381)/((1+DOEUPV_femp_disc)^$A172)+P171</f>
        <v>3.0088448158828456</v>
      </c>
      <c r="Q172" s="15">
        <f>('DOE Fuel Esc Rates'!Q381)/((1+DOEUPV_femp_disc)^$A172)+Q171</f>
        <v>2.9198135668807081</v>
      </c>
      <c r="R172" s="15">
        <f>('DOE Fuel Esc Rates'!R381)/((1+DOEUPV_femp_disc)^$A172)+R171</f>
        <v>2.912600533884258</v>
      </c>
      <c r="T172" s="33">
        <v>3</v>
      </c>
      <c r="U172" s="33"/>
    </row>
    <row r="173" spans="1:24" x14ac:dyDescent="0.2">
      <c r="A173" s="33">
        <v>4</v>
      </c>
      <c r="C173" s="15">
        <f>('DOE Fuel Esc Rates'!C382)/((1+DOEUPV_femp_disc)^$A173)+C172</f>
        <v>3.851490991074868</v>
      </c>
      <c r="D173" s="15">
        <f>('DOE Fuel Esc Rates'!D382)/((1+DOEUPV_femp_disc)^$A173)+D172</f>
        <v>3.78807140878952</v>
      </c>
      <c r="E173" s="15">
        <f>('DOE Fuel Esc Rates'!E382)/((1+DOEUPV_femp_disc)^$A173)+E172</f>
        <v>3.758819248481537</v>
      </c>
      <c r="F173" s="15">
        <f>('DOE Fuel Esc Rates'!F382)/((1+DOEUPV_femp_disc)^$A173)+F172</f>
        <v>3.8540038291640943</v>
      </c>
      <c r="G173"/>
      <c r="H173" s="15">
        <f>('DOE Fuel Esc Rates'!H382)/((1+DOEUPV_femp_disc)^$A173)+H172</f>
        <v>3.7880775095783501</v>
      </c>
      <c r="I173" s="15">
        <f>('DOE Fuel Esc Rates'!I382)/((1+DOEUPV_femp_disc)^$A173)+I172</f>
        <v>3.7620609799269347</v>
      </c>
      <c r="J173" s="15">
        <f>('DOE Fuel Esc Rates'!J382)/((1+DOEUPV_femp_disc)^$A173)+J172</f>
        <v>3.9025457717345882</v>
      </c>
      <c r="K173" s="15">
        <f>('DOE Fuel Esc Rates'!K382)/((1+DOEUPV_femp_disc)^$A173)+K172</f>
        <v>3.7685406544290441</v>
      </c>
      <c r="L173" s="15">
        <f>('DOE Fuel Esc Rates'!L382)/((1+DOEUPV_femp_disc)^$A173)+L172</f>
        <v>3.8259919593312599</v>
      </c>
      <c r="N173" s="15">
        <f>('DOE Fuel Esc Rates'!N382)/((1+DOEUPV_femp_disc)^$A173)+N172</f>
        <v>3.7159669579995658</v>
      </c>
      <c r="O173" s="15">
        <f>('DOE Fuel Esc Rates'!O382)/((1+DOEUPV_femp_disc)^$A173)+O172</f>
        <v>3.7247831248741106</v>
      </c>
      <c r="P173" s="15">
        <f>('DOE Fuel Esc Rates'!P382)/((1+DOEUPV_femp_disc)^$A173)+P172</f>
        <v>4.0002012904440045</v>
      </c>
      <c r="Q173" s="15">
        <f>('DOE Fuel Esc Rates'!Q382)/((1+DOEUPV_femp_disc)^$A173)+Q172</f>
        <v>3.9703517115860509</v>
      </c>
      <c r="R173" s="15">
        <f>('DOE Fuel Esc Rates'!R382)/((1+DOEUPV_femp_disc)^$A173)+R172</f>
        <v>3.8409555903602661</v>
      </c>
      <c r="T173" s="33">
        <v>4</v>
      </c>
      <c r="U173" s="33"/>
    </row>
    <row r="174" spans="1:24" x14ac:dyDescent="0.2">
      <c r="A174" s="33">
        <v>5</v>
      </c>
      <c r="C174" s="15">
        <f>('DOE Fuel Esc Rates'!C383)/((1+DOEUPV_femp_disc)^$A174)+C173</f>
        <v>4.7681955805814287</v>
      </c>
      <c r="D174" s="15">
        <f>('DOE Fuel Esc Rates'!D383)/((1+DOEUPV_femp_disc)^$A174)+D173</f>
        <v>4.6963701140728942</v>
      </c>
      <c r="E174" s="15">
        <f>('DOE Fuel Esc Rates'!E383)/((1+DOEUPV_femp_disc)^$A174)+E173</f>
        <v>4.7129294468312342</v>
      </c>
      <c r="F174" s="15">
        <f>('DOE Fuel Esc Rates'!F383)/((1+DOEUPV_femp_disc)^$A174)+F173</f>
        <v>4.7691573110741974</v>
      </c>
      <c r="G174"/>
      <c r="H174" s="15">
        <f>('DOE Fuel Esc Rates'!H383)/((1+DOEUPV_femp_disc)^$A174)+H173</f>
        <v>4.6848203773150736</v>
      </c>
      <c r="I174" s="15">
        <f>('DOE Fuel Esc Rates'!I383)/((1+DOEUPV_femp_disc)^$A174)+I173</f>
        <v>4.6644093778130236</v>
      </c>
      <c r="J174" s="15">
        <f>('DOE Fuel Esc Rates'!J383)/((1+DOEUPV_femp_disc)^$A174)+J173</f>
        <v>4.8482007434352399</v>
      </c>
      <c r="K174" s="15">
        <f>('DOE Fuel Esc Rates'!K383)/((1+DOEUPV_femp_disc)^$A174)+K173</f>
        <v>4.7244044425304148</v>
      </c>
      <c r="L174" s="15">
        <f>('DOE Fuel Esc Rates'!L383)/((1+DOEUPV_femp_disc)^$A174)+L173</f>
        <v>4.7352883325609589</v>
      </c>
      <c r="N174" s="15">
        <f>('DOE Fuel Esc Rates'!N383)/((1+DOEUPV_femp_disc)^$A174)+N173</f>
        <v>4.5922219983207757</v>
      </c>
      <c r="O174" s="15">
        <f>('DOE Fuel Esc Rates'!O383)/((1+DOEUPV_femp_disc)^$A174)+O173</f>
        <v>4.6156396064986165</v>
      </c>
      <c r="P174" s="15">
        <f>('DOE Fuel Esc Rates'!P383)/((1+DOEUPV_femp_disc)^$A174)+P173</f>
        <v>4.9819181488297559</v>
      </c>
      <c r="Q174" s="15">
        <f>('DOE Fuel Esc Rates'!Q383)/((1+DOEUPV_femp_disc)^$A174)+Q173</f>
        <v>5.0680530367877026</v>
      </c>
      <c r="R174" s="15">
        <f>('DOE Fuel Esc Rates'!R383)/((1+DOEUPV_femp_disc)^$A174)+R173</f>
        <v>4.7560950378960296</v>
      </c>
      <c r="T174" s="33">
        <v>5</v>
      </c>
      <c r="U174" s="33"/>
    </row>
    <row r="175" spans="1:24" x14ac:dyDescent="0.2">
      <c r="A175" s="33">
        <v>6</v>
      </c>
      <c r="C175" s="15">
        <f>('DOE Fuel Esc Rates'!C384)/((1+DOEUPV_femp_disc)^$A175)+C174</f>
        <v>5.674287304620524</v>
      </c>
      <c r="D175" s="15">
        <f>('DOE Fuel Esc Rates'!D384)/((1+DOEUPV_femp_disc)^$A175)+D174</f>
        <v>5.5929998994286656</v>
      </c>
      <c r="E175" s="15">
        <f>('DOE Fuel Esc Rates'!E384)/((1+DOEUPV_femp_disc)^$A175)+E174</f>
        <v>5.670746542710515</v>
      </c>
      <c r="F175" s="15">
        <f>('DOE Fuel Esc Rates'!F384)/((1+DOEUPV_femp_disc)^$A175)+F174</f>
        <v>5.6615205545825305</v>
      </c>
      <c r="G175"/>
      <c r="H175" s="15">
        <f>('DOE Fuel Esc Rates'!H384)/((1+DOEUPV_femp_disc)^$A175)+H174</f>
        <v>5.5708910781322869</v>
      </c>
      <c r="I175" s="15">
        <f>('DOE Fuel Esc Rates'!I384)/((1+DOEUPV_femp_disc)^$A175)+I174</f>
        <v>5.5559925173770948</v>
      </c>
      <c r="J175" s="15">
        <f>('DOE Fuel Esc Rates'!J384)/((1+DOEUPV_femp_disc)^$A175)+J174</f>
        <v>5.787119428723436</v>
      </c>
      <c r="K175" s="15">
        <f>('DOE Fuel Esc Rates'!K384)/((1+DOEUPV_femp_disc)^$A175)+K174</f>
        <v>5.6888398967607099</v>
      </c>
      <c r="L175" s="15">
        <f>('DOE Fuel Esc Rates'!L384)/((1+DOEUPV_femp_disc)^$A175)+L174</f>
        <v>5.6267342037216528</v>
      </c>
      <c r="N175" s="15">
        <f>('DOE Fuel Esc Rates'!N384)/((1+DOEUPV_femp_disc)^$A175)+N174</f>
        <v>5.4578097535508618</v>
      </c>
      <c r="O175" s="15">
        <f>('DOE Fuel Esc Rates'!O384)/((1+DOEUPV_femp_disc)^$A175)+O174</f>
        <v>5.4961032605194085</v>
      </c>
      <c r="P175" s="15">
        <f>('DOE Fuel Esc Rates'!P384)/((1+DOEUPV_femp_disc)^$A175)+P174</f>
        <v>5.9573071887752125</v>
      </c>
      <c r="Q175" s="15">
        <f>('DOE Fuel Esc Rates'!Q384)/((1+DOEUPV_femp_disc)^$A175)+Q174</f>
        <v>6.1829429801716032</v>
      </c>
      <c r="R175" s="15">
        <f>('DOE Fuel Esc Rates'!R384)/((1+DOEUPV_femp_disc)^$A175)+R174</f>
        <v>5.6580011604784266</v>
      </c>
      <c r="T175" s="33">
        <v>6</v>
      </c>
      <c r="U175" s="33"/>
    </row>
    <row r="176" spans="1:24" x14ac:dyDescent="0.2">
      <c r="A176" s="33">
        <v>7</v>
      </c>
      <c r="C176" s="15">
        <f>('DOE Fuel Esc Rates'!C385)/((1+DOEUPV_femp_disc)^$A176)+C175</f>
        <v>6.5631754822755468</v>
      </c>
      <c r="D176" s="15">
        <f>('DOE Fuel Esc Rates'!D385)/((1+DOEUPV_femp_disc)^$A176)+D175</f>
        <v>6.4794650439682808</v>
      </c>
      <c r="E176" s="15">
        <f>('DOE Fuel Esc Rates'!E385)/((1+DOEUPV_femp_disc)^$A176)+E175</f>
        <v>6.6202680665647113</v>
      </c>
      <c r="F176" s="15">
        <f>('DOE Fuel Esc Rates'!F385)/((1+DOEUPV_femp_disc)^$A176)+F175</f>
        <v>6.5316447884566591</v>
      </c>
      <c r="G176"/>
      <c r="H176" s="15">
        <f>('DOE Fuel Esc Rates'!H385)/((1+DOEUPV_femp_disc)^$A176)+H175</f>
        <v>6.4393338895436152</v>
      </c>
      <c r="I176" s="15">
        <f>('DOE Fuel Esc Rates'!I385)/((1+DOEUPV_femp_disc)^$A176)+I175</f>
        <v>6.4407435710321312</v>
      </c>
      <c r="J176" s="15">
        <f>('DOE Fuel Esc Rates'!J385)/((1+DOEUPV_femp_disc)^$A176)+J175</f>
        <v>6.7201545636345204</v>
      </c>
      <c r="K176" s="15">
        <f>('DOE Fuel Esc Rates'!K385)/((1+DOEUPV_femp_disc)^$A176)+K175</f>
        <v>6.6452495358379098</v>
      </c>
      <c r="L176" s="15">
        <f>('DOE Fuel Esc Rates'!L385)/((1+DOEUPV_femp_disc)^$A176)+L175</f>
        <v>6.4985024220691656</v>
      </c>
      <c r="N176" s="15">
        <f>('DOE Fuel Esc Rates'!N385)/((1+DOEUPV_femp_disc)^$A176)+N175</f>
        <v>6.3067614849534621</v>
      </c>
      <c r="O176" s="15">
        <f>('DOE Fuel Esc Rates'!O385)/((1+DOEUPV_femp_disc)^$A176)+O175</f>
        <v>6.3715874244927262</v>
      </c>
      <c r="P176" s="15">
        <f>('DOE Fuel Esc Rates'!P385)/((1+DOEUPV_femp_disc)^$A176)+P175</f>
        <v>6.9286935312291504</v>
      </c>
      <c r="Q176" s="15">
        <f>('DOE Fuel Esc Rates'!Q385)/((1+DOEUPV_femp_disc)^$A176)+Q175</f>
        <v>7.2892247220203172</v>
      </c>
      <c r="R176" s="15">
        <f>('DOE Fuel Esc Rates'!R385)/((1+DOEUPV_femp_disc)^$A176)+R175</f>
        <v>6.5440624228397732</v>
      </c>
      <c r="T176" s="33">
        <v>7</v>
      </c>
      <c r="U176" s="33"/>
    </row>
    <row r="177" spans="1:21" x14ac:dyDescent="0.2">
      <c r="A177" s="33">
        <v>8</v>
      </c>
      <c r="C177" s="15">
        <f>('DOE Fuel Esc Rates'!C386)/((1+DOEUPV_femp_disc)^$A177)+C176</f>
        <v>7.4335326126504881</v>
      </c>
      <c r="D177" s="15">
        <f>('DOE Fuel Esc Rates'!D386)/((1+DOEUPV_femp_disc)^$A177)+D176</f>
        <v>7.3571456394512103</v>
      </c>
      <c r="E177" s="15">
        <f>('DOE Fuel Esc Rates'!E386)/((1+DOEUPV_femp_disc)^$A177)+E176</f>
        <v>7.5573584883973579</v>
      </c>
      <c r="F177" s="15">
        <f>('DOE Fuel Esc Rates'!F386)/((1+DOEUPV_femp_disc)^$A177)+F176</f>
        <v>7.3822541849139913</v>
      </c>
      <c r="G177"/>
      <c r="H177" s="15">
        <f>('DOE Fuel Esc Rates'!H386)/((1+DOEUPV_femp_disc)^$A177)+H176</f>
        <v>7.2888356443770892</v>
      </c>
      <c r="I177" s="15">
        <f>('DOE Fuel Esc Rates'!I386)/((1+DOEUPV_femp_disc)^$A177)+I176</f>
        <v>7.3179088644435604</v>
      </c>
      <c r="J177" s="15">
        <f>('DOE Fuel Esc Rates'!J386)/((1+DOEUPV_femp_disc)^$A177)+J176</f>
        <v>7.6480781511743485</v>
      </c>
      <c r="K177" s="15">
        <f>('DOE Fuel Esc Rates'!K386)/((1+DOEUPV_femp_disc)^$A177)+K176</f>
        <v>7.5904998410857365</v>
      </c>
      <c r="L177" s="15">
        <f>('DOE Fuel Esc Rates'!L386)/((1+DOEUPV_femp_disc)^$A177)+L176</f>
        <v>7.3489484528506734</v>
      </c>
      <c r="N177" s="15">
        <f>('DOE Fuel Esc Rates'!N386)/((1+DOEUPV_femp_disc)^$A177)+N176</f>
        <v>7.138176675647478</v>
      </c>
      <c r="O177" s="15">
        <f>('DOE Fuel Esc Rates'!O386)/((1+DOEUPV_femp_disc)^$A177)+O176</f>
        <v>7.2397060839288727</v>
      </c>
      <c r="P177" s="15">
        <f>('DOE Fuel Esc Rates'!P386)/((1+DOEUPV_femp_disc)^$A177)+P176</f>
        <v>7.8961599084458003</v>
      </c>
      <c r="Q177" s="15">
        <f>('DOE Fuel Esc Rates'!Q386)/((1+DOEUPV_femp_disc)^$A177)+Q176</f>
        <v>8.3847989633532851</v>
      </c>
      <c r="R177" s="15">
        <f>('DOE Fuel Esc Rates'!R386)/((1+DOEUPV_femp_disc)^$A177)+R176</f>
        <v>7.4119065490246445</v>
      </c>
      <c r="T177" s="33">
        <v>8</v>
      </c>
      <c r="U177" s="33"/>
    </row>
    <row r="178" spans="1:21" x14ac:dyDescent="0.2">
      <c r="A178" s="33">
        <v>9</v>
      </c>
      <c r="C178" s="15">
        <f>('DOE Fuel Esc Rates'!C387)/((1+DOEUPV_femp_disc)^$A178)+C177</f>
        <v>8.2817870638714854</v>
      </c>
      <c r="D178" s="15">
        <f>('DOE Fuel Esc Rates'!D387)/((1+DOEUPV_femp_disc)^$A178)+D177</f>
        <v>8.2258013866047772</v>
      </c>
      <c r="E178" s="15">
        <f>('DOE Fuel Esc Rates'!E387)/((1+DOEUPV_femp_disc)^$A178)+E177</f>
        <v>8.4797192231754153</v>
      </c>
      <c r="F178" s="15">
        <f>('DOE Fuel Esc Rates'!F387)/((1+DOEUPV_femp_disc)^$A178)+F177</f>
        <v>8.2130400198356242</v>
      </c>
      <c r="G178"/>
      <c r="H178" s="15">
        <f>('DOE Fuel Esc Rates'!H387)/((1+DOEUPV_femp_disc)^$A178)+H177</f>
        <v>8.1153937299629728</v>
      </c>
      <c r="I178" s="15">
        <f>('DOE Fuel Esc Rates'!I387)/((1+DOEUPV_femp_disc)^$A178)+I177</f>
        <v>8.1867959360639766</v>
      </c>
      <c r="J178" s="15">
        <f>('DOE Fuel Esc Rates'!J387)/((1+DOEUPV_femp_disc)^$A178)+J177</f>
        <v>8.5709914678396935</v>
      </c>
      <c r="K178" s="15">
        <f>('DOE Fuel Esc Rates'!K387)/((1+DOEUPV_femp_disc)^$A178)+K177</f>
        <v>8.521727692135455</v>
      </c>
      <c r="L178" s="15">
        <f>('DOE Fuel Esc Rates'!L387)/((1+DOEUPV_femp_disc)^$A178)+L177</f>
        <v>8.1805501134606402</v>
      </c>
      <c r="N178" s="15">
        <f>('DOE Fuel Esc Rates'!N387)/((1+DOEUPV_femp_disc)^$A178)+N177</f>
        <v>7.9486825776369514</v>
      </c>
      <c r="O178" s="15">
        <f>('DOE Fuel Esc Rates'!O387)/((1+DOEUPV_femp_disc)^$A178)+O177</f>
        <v>8.0993964068656386</v>
      </c>
      <c r="P178" s="15">
        <f>('DOE Fuel Esc Rates'!P387)/((1+DOEUPV_femp_disc)^$A178)+P177</f>
        <v>8.8597679098315272</v>
      </c>
      <c r="Q178" s="15">
        <f>('DOE Fuel Esc Rates'!Q387)/((1+DOEUPV_femp_disc)^$A178)+Q177</f>
        <v>9.4645307120638034</v>
      </c>
      <c r="R178" s="15">
        <f>('DOE Fuel Esc Rates'!R387)/((1+DOEUPV_femp_disc)^$A178)+R177</f>
        <v>8.2593865895969234</v>
      </c>
      <c r="T178" s="33">
        <v>9</v>
      </c>
      <c r="U178" s="33"/>
    </row>
    <row r="179" spans="1:21" x14ac:dyDescent="0.2">
      <c r="A179" s="33">
        <v>10</v>
      </c>
      <c r="C179" s="15">
        <f>('DOE Fuel Esc Rates'!C388)/((1+DOEUPV_femp_disc)^$A179)+C178</f>
        <v>9.1122715434638479</v>
      </c>
      <c r="D179" s="15">
        <f>('DOE Fuel Esc Rates'!D388)/((1+DOEUPV_femp_disc)^$A179)+D178</f>
        <v>9.0855783672309105</v>
      </c>
      <c r="E179" s="15">
        <f>('DOE Fuel Esc Rates'!E388)/((1+DOEUPV_femp_disc)^$A179)+E178</f>
        <v>9.3881308878420047</v>
      </c>
      <c r="F179" s="15">
        <f>('DOE Fuel Esc Rates'!F388)/((1+DOEUPV_femp_disc)^$A179)+F178</f>
        <v>9.0240920858190421</v>
      </c>
      <c r="G179"/>
      <c r="H179" s="15">
        <f>('DOE Fuel Esc Rates'!H388)/((1+DOEUPV_femp_disc)^$A179)+H178</f>
        <v>8.9241155200972067</v>
      </c>
      <c r="I179" s="15">
        <f>('DOE Fuel Esc Rates'!I388)/((1+DOEUPV_femp_disc)^$A179)+I178</f>
        <v>9.0475154870962431</v>
      </c>
      <c r="J179" s="15">
        <f>('DOE Fuel Esc Rates'!J388)/((1+DOEUPV_femp_disc)^$A179)+J178</f>
        <v>9.4889768954568492</v>
      </c>
      <c r="K179" s="15">
        <f>('DOE Fuel Esc Rates'!K388)/((1+DOEUPV_femp_disc)^$A179)+K178</f>
        <v>9.4398224167436346</v>
      </c>
      <c r="L179" s="15">
        <f>('DOE Fuel Esc Rates'!L388)/((1+DOEUPV_femp_disc)^$A179)+L178</f>
        <v>8.9917659021238219</v>
      </c>
      <c r="N179" s="15">
        <f>('DOE Fuel Esc Rates'!N388)/((1+DOEUPV_femp_disc)^$A179)+N178</f>
        <v>8.7437858069297612</v>
      </c>
      <c r="O179" s="15">
        <f>('DOE Fuel Esc Rates'!O388)/((1+DOEUPV_femp_disc)^$A179)+O178</f>
        <v>8.9511402723046078</v>
      </c>
      <c r="P179" s="15">
        <f>('DOE Fuel Esc Rates'!P388)/((1+DOEUPV_femp_disc)^$A179)+P178</f>
        <v>9.8189215582790208</v>
      </c>
      <c r="Q179" s="15">
        <f>('DOE Fuel Esc Rates'!Q388)/((1+DOEUPV_femp_disc)^$A179)+Q178</f>
        <v>10.531533307010051</v>
      </c>
      <c r="R179" s="15">
        <f>('DOE Fuel Esc Rates'!R388)/((1+DOEUPV_femp_disc)^$A179)+R178</f>
        <v>9.0869525782801404</v>
      </c>
      <c r="T179" s="33">
        <v>10</v>
      </c>
      <c r="U179" s="33"/>
    </row>
    <row r="180" spans="1:21" x14ac:dyDescent="0.2">
      <c r="A180" s="33">
        <v>11</v>
      </c>
      <c r="C180" s="15">
        <f>('DOE Fuel Esc Rates'!C389)/((1+DOEUPV_femp_disc)^$A180)+C179</f>
        <v>9.9234649260853391</v>
      </c>
      <c r="D180" s="15">
        <f>('DOE Fuel Esc Rates'!D389)/((1+DOEUPV_femp_disc)^$A180)+D179</f>
        <v>9.9373197840741785</v>
      </c>
      <c r="E180" s="15">
        <f>('DOE Fuel Esc Rates'!E389)/((1+DOEUPV_femp_disc)^$A180)+E179</f>
        <v>10.283320222875187</v>
      </c>
      <c r="F180" s="15">
        <f>('DOE Fuel Esc Rates'!F389)/((1+DOEUPV_femp_disc)^$A180)+F179</f>
        <v>9.81752200658741</v>
      </c>
      <c r="G180"/>
      <c r="H180" s="15">
        <f>('DOE Fuel Esc Rates'!H389)/((1+DOEUPV_femp_disc)^$A180)+H179</f>
        <v>9.7126739558212076</v>
      </c>
      <c r="I180" s="15">
        <f>('DOE Fuel Esc Rates'!I389)/((1+DOEUPV_femp_disc)^$A180)+I179</f>
        <v>9.9008914467840157</v>
      </c>
      <c r="J180" s="15">
        <f>('DOE Fuel Esc Rates'!J389)/((1+DOEUPV_femp_disc)^$A180)+J179</f>
        <v>10.402660326807302</v>
      </c>
      <c r="K180" s="15">
        <f>('DOE Fuel Esc Rates'!K389)/((1+DOEUPV_femp_disc)^$A180)+K179</f>
        <v>10.343910148327279</v>
      </c>
      <c r="L180" s="15">
        <f>('DOE Fuel Esc Rates'!L389)/((1+DOEUPV_femp_disc)^$A180)+L179</f>
        <v>9.7830778674704035</v>
      </c>
      <c r="N180" s="15">
        <f>('DOE Fuel Esc Rates'!N389)/((1+DOEUPV_femp_disc)^$A180)+N179</f>
        <v>9.5216181114555614</v>
      </c>
      <c r="O180" s="15">
        <f>('DOE Fuel Esc Rates'!O389)/((1+DOEUPV_femp_disc)^$A180)+O179</f>
        <v>9.7953774533151847</v>
      </c>
      <c r="P180" s="15">
        <f>('DOE Fuel Esc Rates'!P389)/((1+DOEUPV_femp_disc)^$A180)+P179</f>
        <v>10.775541156107913</v>
      </c>
      <c r="Q180" s="15">
        <f>('DOE Fuel Esc Rates'!Q389)/((1+DOEUPV_femp_disc)^$A180)+Q179</f>
        <v>11.593204826707604</v>
      </c>
      <c r="R180" s="15">
        <f>('DOE Fuel Esc Rates'!R389)/((1+DOEUPV_femp_disc)^$A180)+R179</f>
        <v>9.8950456088345256</v>
      </c>
      <c r="T180" s="33">
        <v>11</v>
      </c>
      <c r="U180" s="33"/>
    </row>
    <row r="181" spans="1:21" x14ac:dyDescent="0.2">
      <c r="A181" s="33">
        <v>12</v>
      </c>
      <c r="C181" s="15">
        <f>('DOE Fuel Esc Rates'!C390)/((1+DOEUPV_femp_disc)^$A181)+C180</f>
        <v>10.714201395534536</v>
      </c>
      <c r="D181" s="15">
        <f>('DOE Fuel Esc Rates'!D390)/((1+DOEUPV_femp_disc)^$A181)+D180</f>
        <v>10.781452312761553</v>
      </c>
      <c r="E181" s="15">
        <f>('DOE Fuel Esc Rates'!E390)/((1+DOEUPV_femp_disc)^$A181)+E180</f>
        <v>11.15514150114784</v>
      </c>
      <c r="F181" s="15">
        <f>('DOE Fuel Esc Rates'!F390)/((1+DOEUPV_femp_disc)^$A181)+F180</f>
        <v>10.592697277958971</v>
      </c>
      <c r="G181"/>
      <c r="H181" s="15">
        <f>('DOE Fuel Esc Rates'!H390)/((1+DOEUPV_femp_disc)^$A181)+H180</f>
        <v>10.481087124362604</v>
      </c>
      <c r="I181" s="15">
        <f>('DOE Fuel Esc Rates'!I390)/((1+DOEUPV_femp_disc)^$A181)+I180</f>
        <v>10.747323851022907</v>
      </c>
      <c r="J181" s="15">
        <f>('DOE Fuel Esc Rates'!J390)/((1+DOEUPV_femp_disc)^$A181)+J180</f>
        <v>11.312058152833906</v>
      </c>
      <c r="K181" s="15">
        <f>('DOE Fuel Esc Rates'!K390)/((1+DOEUPV_femp_disc)^$A181)+K180</f>
        <v>11.220841044361736</v>
      </c>
      <c r="L181" s="15">
        <f>('DOE Fuel Esc Rates'!L390)/((1+DOEUPV_femp_disc)^$A181)+L180</f>
        <v>10.556764951806983</v>
      </c>
      <c r="N181" s="15">
        <f>('DOE Fuel Esc Rates'!N390)/((1+DOEUPV_femp_disc)^$A181)+N180</f>
        <v>10.280829889727725</v>
      </c>
      <c r="O181" s="15">
        <f>('DOE Fuel Esc Rates'!O390)/((1+DOEUPV_femp_disc)^$A181)+O180</f>
        <v>10.632508278061636</v>
      </c>
      <c r="P181" s="15">
        <f>('DOE Fuel Esc Rates'!P390)/((1+DOEUPV_femp_disc)^$A181)+P180</f>
        <v>11.728359106558743</v>
      </c>
      <c r="Q181" s="15">
        <f>('DOE Fuel Esc Rates'!Q390)/((1+DOEUPV_femp_disc)^$A181)+Q180</f>
        <v>12.623953874957655</v>
      </c>
      <c r="R181" s="15">
        <f>('DOE Fuel Esc Rates'!R390)/((1+DOEUPV_femp_disc)^$A181)+R180</f>
        <v>10.686345986488137</v>
      </c>
      <c r="T181" s="33">
        <v>12</v>
      </c>
      <c r="U181" s="33"/>
    </row>
    <row r="182" spans="1:21" x14ac:dyDescent="0.2">
      <c r="A182" s="33">
        <v>13</v>
      </c>
      <c r="C182" s="15">
        <f>('DOE Fuel Esc Rates'!C391)/((1+DOEUPV_femp_disc)^$A182)+C181</f>
        <v>11.483830297035301</v>
      </c>
      <c r="D182" s="15">
        <f>('DOE Fuel Esc Rates'!D391)/((1+DOEUPV_femp_disc)^$A182)+D181</f>
        <v>11.619032479854683</v>
      </c>
      <c r="E182" s="15">
        <f>('DOE Fuel Esc Rates'!E391)/((1+DOEUPV_femp_disc)^$A182)+E181</f>
        <v>11.997629996047788</v>
      </c>
      <c r="F182" s="15">
        <f>('DOE Fuel Esc Rates'!F391)/((1+DOEUPV_femp_disc)^$A182)+F181</f>
        <v>11.349693945261031</v>
      </c>
      <c r="G182"/>
      <c r="H182" s="15">
        <f>('DOE Fuel Esc Rates'!H391)/((1+DOEUPV_femp_disc)^$A182)+H181</f>
        <v>11.229174511960743</v>
      </c>
      <c r="I182" s="15">
        <f>('DOE Fuel Esc Rates'!I391)/((1+DOEUPV_femp_disc)^$A182)+I181</f>
        <v>11.587175203252851</v>
      </c>
      <c r="J182" s="15">
        <f>('DOE Fuel Esc Rates'!J391)/((1+DOEUPV_femp_disc)^$A182)+J181</f>
        <v>12.216644909610558</v>
      </c>
      <c r="K182" s="15">
        <f>('DOE Fuel Esc Rates'!K391)/((1+DOEUPV_femp_disc)^$A182)+K181</f>
        <v>12.064228485434366</v>
      </c>
      <c r="L182" s="15">
        <f>('DOE Fuel Esc Rates'!L391)/((1+DOEUPV_femp_disc)^$A182)+L181</f>
        <v>11.311427519325195</v>
      </c>
      <c r="N182" s="15">
        <f>('DOE Fuel Esc Rates'!N391)/((1+DOEUPV_femp_disc)^$A182)+N181</f>
        <v>11.019560897591848</v>
      </c>
      <c r="O182" s="15">
        <f>('DOE Fuel Esc Rates'!O391)/((1+DOEUPV_femp_disc)^$A182)+O181</f>
        <v>11.462230511982941</v>
      </c>
      <c r="P182" s="15">
        <f>('DOE Fuel Esc Rates'!P391)/((1+DOEUPV_femp_disc)^$A182)+P181</f>
        <v>12.677369335966045</v>
      </c>
      <c r="Q182" s="15">
        <f>('DOE Fuel Esc Rates'!Q391)/((1+DOEUPV_femp_disc)^$A182)+Q181</f>
        <v>13.610405396834565</v>
      </c>
      <c r="R182" s="15">
        <f>('DOE Fuel Esc Rates'!R391)/((1+DOEUPV_femp_disc)^$A182)+R181</f>
        <v>11.458963853018858</v>
      </c>
      <c r="T182" s="33">
        <v>13</v>
      </c>
      <c r="U182" s="33"/>
    </row>
    <row r="183" spans="1:21" x14ac:dyDescent="0.2">
      <c r="A183" s="33">
        <v>14</v>
      </c>
      <c r="C183" s="15">
        <f>('DOE Fuel Esc Rates'!C392)/((1+DOEUPV_femp_disc)^$A183)+C182</f>
        <v>12.229922284110268</v>
      </c>
      <c r="D183" s="15">
        <f>('DOE Fuel Esc Rates'!D392)/((1+DOEUPV_femp_disc)^$A183)+D182</f>
        <v>12.450050104333899</v>
      </c>
      <c r="E183" s="15">
        <f>('DOE Fuel Esc Rates'!E392)/((1+DOEUPV_femp_disc)^$A183)+E182</f>
        <v>12.813667403422746</v>
      </c>
      <c r="F183" s="15">
        <f>('DOE Fuel Esc Rates'!F392)/((1+DOEUPV_femp_disc)^$A183)+F182</f>
        <v>12.089218431326712</v>
      </c>
      <c r="G183"/>
      <c r="H183" s="15">
        <f>('DOE Fuel Esc Rates'!H392)/((1+DOEUPV_femp_disc)^$A183)+H182</f>
        <v>11.953255918333516</v>
      </c>
      <c r="I183" s="15">
        <f>('DOE Fuel Esc Rates'!I392)/((1+DOEUPV_femp_disc)^$A183)+I182</f>
        <v>12.420110806377361</v>
      </c>
      <c r="J183" s="15">
        <f>('DOE Fuel Esc Rates'!J392)/((1+DOEUPV_femp_disc)^$A183)+J182</f>
        <v>13.116955958838709</v>
      </c>
      <c r="K183" s="15">
        <f>('DOE Fuel Esc Rates'!K392)/((1+DOEUPV_femp_disc)^$A183)+K182</f>
        <v>12.877613141946815</v>
      </c>
      <c r="L183" s="15">
        <f>('DOE Fuel Esc Rates'!L392)/((1+DOEUPV_femp_disc)^$A183)+L182</f>
        <v>12.050925271194474</v>
      </c>
      <c r="N183" s="15">
        <f>('DOE Fuel Esc Rates'!N392)/((1+DOEUPV_femp_disc)^$A183)+N182</f>
        <v>11.735507744832626</v>
      </c>
      <c r="O183" s="15">
        <f>('DOE Fuel Esc Rates'!O392)/((1+DOEUPV_femp_disc)^$A183)+O182</f>
        <v>12.284265554994949</v>
      </c>
      <c r="P183" s="15">
        <f>('DOE Fuel Esc Rates'!P392)/((1+DOEUPV_femp_disc)^$A183)+P182</f>
        <v>13.623119336056488</v>
      </c>
      <c r="Q183" s="15">
        <f>('DOE Fuel Esc Rates'!Q392)/((1+DOEUPV_femp_disc)^$A183)+Q182</f>
        <v>14.559809373743903</v>
      </c>
      <c r="R183" s="15">
        <f>('DOE Fuel Esc Rates'!R392)/((1+DOEUPV_femp_disc)^$A183)+R182</f>
        <v>12.215435188522855</v>
      </c>
      <c r="T183" s="33">
        <v>14</v>
      </c>
      <c r="U183" s="33"/>
    </row>
    <row r="184" spans="1:21" x14ac:dyDescent="0.2">
      <c r="A184" s="33">
        <v>15</v>
      </c>
      <c r="C184" s="15">
        <f>('DOE Fuel Esc Rates'!C393)/((1+DOEUPV_femp_disc)^$A184)+C183</f>
        <v>12.954283436610236</v>
      </c>
      <c r="D184" s="15">
        <f>('DOE Fuel Esc Rates'!D393)/((1+DOEUPV_femp_disc)^$A184)+D183</f>
        <v>13.274806505598931</v>
      </c>
      <c r="E184" s="15">
        <f>('DOE Fuel Esc Rates'!E393)/((1+DOEUPV_femp_disc)^$A184)+E183</f>
        <v>13.605317770559102</v>
      </c>
      <c r="F184" s="15">
        <f>('DOE Fuel Esc Rates'!F393)/((1+DOEUPV_femp_disc)^$A184)+F183</f>
        <v>12.811646345355598</v>
      </c>
      <c r="G184"/>
      <c r="H184" s="15">
        <f>('DOE Fuel Esc Rates'!H393)/((1+DOEUPV_femp_disc)^$A184)+H183</f>
        <v>12.65495610227493</v>
      </c>
      <c r="I184" s="15">
        <f>('DOE Fuel Esc Rates'!I393)/((1+DOEUPV_femp_disc)^$A184)+I183</f>
        <v>13.246142456256962</v>
      </c>
      <c r="J184" s="15">
        <f>('DOE Fuel Esc Rates'!J393)/((1+DOEUPV_femp_disc)^$A184)+J183</f>
        <v>14.013469657104777</v>
      </c>
      <c r="K184" s="15">
        <f>('DOE Fuel Esc Rates'!K393)/((1+DOEUPV_femp_disc)^$A184)+K183</f>
        <v>13.66278151708193</v>
      </c>
      <c r="L184" s="15">
        <f>('DOE Fuel Esc Rates'!L393)/((1+DOEUPV_femp_disc)^$A184)+L183</f>
        <v>12.772192820330991</v>
      </c>
      <c r="N184" s="15">
        <f>('DOE Fuel Esc Rates'!N393)/((1+DOEUPV_femp_disc)^$A184)+N183</f>
        <v>12.430601771279981</v>
      </c>
      <c r="O184" s="15">
        <f>('DOE Fuel Esc Rates'!O393)/((1+DOEUPV_femp_disc)^$A184)+O183</f>
        <v>13.098671036638097</v>
      </c>
      <c r="P184" s="15">
        <f>('DOE Fuel Esc Rates'!P393)/((1+DOEUPV_femp_disc)^$A184)+P183</f>
        <v>14.566094907146176</v>
      </c>
      <c r="Q184" s="15">
        <f>('DOE Fuel Esc Rates'!Q393)/((1+DOEUPV_femp_disc)^$A184)+Q183</f>
        <v>15.476178317511543</v>
      </c>
      <c r="R184" s="15">
        <f>('DOE Fuel Esc Rates'!R393)/((1+DOEUPV_femp_disc)^$A184)+R183</f>
        <v>12.95604512782676</v>
      </c>
      <c r="T184" s="33">
        <v>15</v>
      </c>
      <c r="U184" s="33"/>
    </row>
    <row r="185" spans="1:21" x14ac:dyDescent="0.2">
      <c r="A185" s="33">
        <v>16</v>
      </c>
      <c r="C185" s="15">
        <f>('DOE Fuel Esc Rates'!C394)/((1+DOEUPV_femp_disc)^$A185)+C184</f>
        <v>13.658778942474331</v>
      </c>
      <c r="D185" s="15">
        <f>('DOE Fuel Esc Rates'!D394)/((1+DOEUPV_femp_disc)^$A185)+D184</f>
        <v>14.093267056472628</v>
      </c>
      <c r="E185" s="15">
        <f>('DOE Fuel Esc Rates'!E394)/((1+DOEUPV_femp_disc)^$A185)+E184</f>
        <v>14.381722481718588</v>
      </c>
      <c r="F185" s="15">
        <f>('DOE Fuel Esc Rates'!F394)/((1+DOEUPV_femp_disc)^$A185)+F184</f>
        <v>13.518784095029</v>
      </c>
      <c r="G185"/>
      <c r="H185" s="15">
        <f>('DOE Fuel Esc Rates'!H394)/((1+DOEUPV_femp_disc)^$A185)+H184</f>
        <v>13.33580046444097</v>
      </c>
      <c r="I185" s="15">
        <f>('DOE Fuel Esc Rates'!I394)/((1+DOEUPV_femp_disc)^$A185)+I184</f>
        <v>14.065901870043261</v>
      </c>
      <c r="J185" s="15">
        <f>('DOE Fuel Esc Rates'!J394)/((1+DOEUPV_femp_disc)^$A185)+J184</f>
        <v>14.907094918548527</v>
      </c>
      <c r="K185" s="15">
        <f>('DOE Fuel Esc Rates'!K394)/((1+DOEUPV_femp_disc)^$A185)+K184</f>
        <v>14.431671395085596</v>
      </c>
      <c r="L185" s="15">
        <f>('DOE Fuel Esc Rates'!L394)/((1+DOEUPV_femp_disc)^$A185)+L184</f>
        <v>13.475664777491842</v>
      </c>
      <c r="N185" s="15">
        <f>('DOE Fuel Esc Rates'!N394)/((1+DOEUPV_femp_disc)^$A185)+N184</f>
        <v>13.107242767125408</v>
      </c>
      <c r="O185" s="15">
        <f>('DOE Fuel Esc Rates'!O394)/((1+DOEUPV_femp_disc)^$A185)+O184</f>
        <v>13.906412347885283</v>
      </c>
      <c r="P185" s="15">
        <f>('DOE Fuel Esc Rates'!P394)/((1+DOEUPV_femp_disc)^$A185)+P184</f>
        <v>15.506724249365217</v>
      </c>
      <c r="Q185" s="15">
        <f>('DOE Fuel Esc Rates'!Q394)/((1+DOEUPV_femp_disc)^$A185)+Q184</f>
        <v>16.380227629755399</v>
      </c>
      <c r="R185" s="15">
        <f>('DOE Fuel Esc Rates'!R394)/((1+DOEUPV_femp_disc)^$A185)+R184</f>
        <v>13.681075893650164</v>
      </c>
      <c r="T185" s="33">
        <v>16</v>
      </c>
      <c r="U185" s="33"/>
    </row>
    <row r="186" spans="1:21" x14ac:dyDescent="0.2">
      <c r="A186" s="33">
        <v>17</v>
      </c>
      <c r="C186" s="15">
        <f>('DOE Fuel Esc Rates'!C395)/((1+DOEUPV_femp_disc)^$A186)+C185</f>
        <v>14.345831516569241</v>
      </c>
      <c r="D186" s="15">
        <f>('DOE Fuel Esc Rates'!D395)/((1+DOEUPV_femp_disc)^$A186)+D185</f>
        <v>14.904802112571426</v>
      </c>
      <c r="E186" s="15">
        <f>('DOE Fuel Esc Rates'!E395)/((1+DOEUPV_femp_disc)^$A186)+E185</f>
        <v>15.146598624922538</v>
      </c>
      <c r="F186" s="15">
        <f>('DOE Fuel Esc Rates'!F395)/((1+DOEUPV_femp_disc)^$A186)+F185</f>
        <v>14.21146789850887</v>
      </c>
      <c r="G186"/>
      <c r="H186" s="15">
        <f>('DOE Fuel Esc Rates'!H395)/((1+DOEUPV_femp_disc)^$A186)+H185</f>
        <v>13.998843303146776</v>
      </c>
      <c r="I186" s="15">
        <f>('DOE Fuel Esc Rates'!I395)/((1+DOEUPV_femp_disc)^$A186)+I185</f>
        <v>14.879356630730898</v>
      </c>
      <c r="J186" s="15">
        <f>('DOE Fuel Esc Rates'!J395)/((1+DOEUPV_femp_disc)^$A186)+J185</f>
        <v>15.797239456495609</v>
      </c>
      <c r="K186" s="15">
        <f>('DOE Fuel Esc Rates'!K395)/((1+DOEUPV_femp_disc)^$A186)+K185</f>
        <v>15.188119689302795</v>
      </c>
      <c r="L186" s="15">
        <f>('DOE Fuel Esc Rates'!L395)/((1+DOEUPV_femp_disc)^$A186)+L185</f>
        <v>14.164884543119133</v>
      </c>
      <c r="N186" s="15">
        <f>('DOE Fuel Esc Rates'!N395)/((1+DOEUPV_femp_disc)^$A186)+N185</f>
        <v>13.76823628585994</v>
      </c>
      <c r="O186" s="15">
        <f>('DOE Fuel Esc Rates'!O395)/((1+DOEUPV_femp_disc)^$A186)+O185</f>
        <v>14.707778217014965</v>
      </c>
      <c r="P186" s="15">
        <f>('DOE Fuel Esc Rates'!P395)/((1+DOEUPV_femp_disc)^$A186)+P185</f>
        <v>16.444862957844929</v>
      </c>
      <c r="Q186" s="15">
        <f>('DOE Fuel Esc Rates'!Q395)/((1+DOEUPV_femp_disc)^$A186)+Q185</f>
        <v>17.276971083030563</v>
      </c>
      <c r="R186" s="15">
        <f>('DOE Fuel Esc Rates'!R395)/((1+DOEUPV_femp_disc)^$A186)+R185</f>
        <v>14.38886756907754</v>
      </c>
      <c r="T186" s="33">
        <v>17</v>
      </c>
      <c r="U186" s="33"/>
    </row>
    <row r="187" spans="1:21" x14ac:dyDescent="0.2">
      <c r="A187" s="33">
        <v>18</v>
      </c>
      <c r="C187" s="15">
        <f>('DOE Fuel Esc Rates'!C396)/((1+DOEUPV_femp_disc)^$A187)+C186</f>
        <v>15.016357394924439</v>
      </c>
      <c r="D187" s="15">
        <f>('DOE Fuel Esc Rates'!D396)/((1+DOEUPV_femp_disc)^$A187)+D186</f>
        <v>15.710273089959914</v>
      </c>
      <c r="E187" s="15">
        <f>('DOE Fuel Esc Rates'!E396)/((1+DOEUPV_femp_disc)^$A187)+E186</f>
        <v>15.900525551380852</v>
      </c>
      <c r="F187" s="15">
        <f>('DOE Fuel Esc Rates'!F396)/((1+DOEUPV_femp_disc)^$A187)+F186</f>
        <v>14.889668779106904</v>
      </c>
      <c r="G187"/>
      <c r="H187" s="15">
        <f>('DOE Fuel Esc Rates'!H396)/((1+DOEUPV_femp_disc)^$A187)+H186</f>
        <v>14.645725895840227</v>
      </c>
      <c r="I187" s="15">
        <f>('DOE Fuel Esc Rates'!I396)/((1+DOEUPV_femp_disc)^$A187)+I186</f>
        <v>15.687649260540384</v>
      </c>
      <c r="J187" s="15">
        <f>('DOE Fuel Esc Rates'!J396)/((1+DOEUPV_femp_disc)^$A187)+J186</f>
        <v>16.682435833345924</v>
      </c>
      <c r="K187" s="15">
        <f>('DOE Fuel Esc Rates'!K396)/((1+DOEUPV_femp_disc)^$A187)+K186</f>
        <v>15.932889115410866</v>
      </c>
      <c r="L187" s="15">
        <f>('DOE Fuel Esc Rates'!L396)/((1+DOEUPV_femp_disc)^$A187)+L186</f>
        <v>14.837057753896529</v>
      </c>
      <c r="N187" s="15">
        <f>('DOE Fuel Esc Rates'!N396)/((1+DOEUPV_femp_disc)^$A187)+N186</f>
        <v>14.414764578806722</v>
      </c>
      <c r="O187" s="15">
        <f>('DOE Fuel Esc Rates'!O396)/((1+DOEUPV_femp_disc)^$A187)+O186</f>
        <v>15.504177357546522</v>
      </c>
      <c r="P187" s="15">
        <f>('DOE Fuel Esc Rates'!P396)/((1+DOEUPV_femp_disc)^$A187)+P186</f>
        <v>17.378850610092432</v>
      </c>
      <c r="Q187" s="15">
        <f>('DOE Fuel Esc Rates'!Q396)/((1+DOEUPV_femp_disc)^$A187)+Q186</f>
        <v>18.166067323489592</v>
      </c>
      <c r="R187" s="15">
        <f>('DOE Fuel Esc Rates'!R396)/((1+DOEUPV_femp_disc)^$A187)+R186</f>
        <v>15.081691978060848</v>
      </c>
      <c r="T187" s="33">
        <v>18</v>
      </c>
      <c r="U187" s="33"/>
    </row>
    <row r="188" spans="1:21" x14ac:dyDescent="0.2">
      <c r="A188" s="33">
        <v>19</v>
      </c>
      <c r="C188" s="15">
        <f>('DOE Fuel Esc Rates'!C397)/((1+DOEUPV_femp_disc)^$A188)+C187</f>
        <v>15.670575348281282</v>
      </c>
      <c r="D188" s="15">
        <f>('DOE Fuel Esc Rates'!D397)/((1+DOEUPV_femp_disc)^$A188)+D187</f>
        <v>16.509904159432839</v>
      </c>
      <c r="E188" s="15">
        <f>('DOE Fuel Esc Rates'!E397)/((1+DOEUPV_femp_disc)^$A188)+E187</f>
        <v>16.642392330714785</v>
      </c>
      <c r="F188" s="15">
        <f>('DOE Fuel Esc Rates'!F397)/((1+DOEUPV_femp_disc)^$A188)+F187</f>
        <v>15.553642773406159</v>
      </c>
      <c r="G188"/>
      <c r="H188" s="15">
        <f>('DOE Fuel Esc Rates'!H397)/((1+DOEUPV_femp_disc)^$A188)+H187</f>
        <v>15.276253404357638</v>
      </c>
      <c r="I188" s="15">
        <f>('DOE Fuel Esc Rates'!I397)/((1+DOEUPV_femp_disc)^$A188)+I187</f>
        <v>16.490390382908096</v>
      </c>
      <c r="J188" s="15">
        <f>('DOE Fuel Esc Rates'!J397)/((1+DOEUPV_femp_disc)^$A188)+J187</f>
        <v>17.564873761479593</v>
      </c>
      <c r="K188" s="15">
        <f>('DOE Fuel Esc Rates'!K397)/((1+DOEUPV_femp_disc)^$A188)+K187</f>
        <v>16.665348136921363</v>
      </c>
      <c r="L188" s="15">
        <f>('DOE Fuel Esc Rates'!L397)/((1+DOEUPV_femp_disc)^$A188)+L187</f>
        <v>15.495532341555659</v>
      </c>
      <c r="N188" s="15">
        <f>('DOE Fuel Esc Rates'!N397)/((1+DOEUPV_femp_disc)^$A188)+N187</f>
        <v>15.046289373598452</v>
      </c>
      <c r="O188" s="15">
        <f>('DOE Fuel Esc Rates'!O397)/((1+DOEUPV_femp_disc)^$A188)+O187</f>
        <v>16.29494053353158</v>
      </c>
      <c r="P188" s="15">
        <f>('DOE Fuel Esc Rates'!P397)/((1+DOEUPV_femp_disc)^$A188)+P187</f>
        <v>18.311067734537996</v>
      </c>
      <c r="Q188" s="15">
        <f>('DOE Fuel Esc Rates'!Q397)/((1+DOEUPV_femp_disc)^$A188)+Q187</f>
        <v>19.0460055116103</v>
      </c>
      <c r="R188" s="15">
        <f>('DOE Fuel Esc Rates'!R397)/((1+DOEUPV_femp_disc)^$A188)+R187</f>
        <v>15.757992714985246</v>
      </c>
      <c r="T188" s="33">
        <v>19</v>
      </c>
      <c r="U188" s="33"/>
    </row>
    <row r="189" spans="1:21" x14ac:dyDescent="0.2">
      <c r="A189" s="33">
        <v>20</v>
      </c>
      <c r="C189" s="15">
        <f>('DOE Fuel Esc Rates'!C398)/((1+DOEUPV_femp_disc)^$A189)+C188</f>
        <v>16.308553710237796</v>
      </c>
      <c r="D189" s="15">
        <f>('DOE Fuel Esc Rates'!D398)/((1+DOEUPV_femp_disc)^$A189)+D188</f>
        <v>17.303623742310062</v>
      </c>
      <c r="E189" s="15">
        <f>('DOE Fuel Esc Rates'!E398)/((1+DOEUPV_femp_disc)^$A189)+E188</f>
        <v>17.373863674239644</v>
      </c>
      <c r="F189" s="15">
        <f>('DOE Fuel Esc Rates'!F398)/((1+DOEUPV_femp_disc)^$A189)+F188</f>
        <v>16.203387786279187</v>
      </c>
      <c r="G189"/>
      <c r="H189" s="15">
        <f>('DOE Fuel Esc Rates'!H398)/((1+DOEUPV_femp_disc)^$A189)+H188</f>
        <v>15.89082977805206</v>
      </c>
      <c r="I189" s="15">
        <f>('DOE Fuel Esc Rates'!I398)/((1+DOEUPV_femp_disc)^$A189)+I188</f>
        <v>17.287494936381162</v>
      </c>
      <c r="J189" s="15">
        <f>('DOE Fuel Esc Rates'!J398)/((1+DOEUPV_femp_disc)^$A189)+J188</f>
        <v>18.443962982994385</v>
      </c>
      <c r="K189" s="15">
        <f>('DOE Fuel Esc Rates'!K398)/((1+DOEUPV_femp_disc)^$A189)+K188</f>
        <v>17.386232667636357</v>
      </c>
      <c r="L189" s="15">
        <f>('DOE Fuel Esc Rates'!L398)/((1+DOEUPV_femp_disc)^$A189)+L188</f>
        <v>16.137682056462491</v>
      </c>
      <c r="N189" s="15">
        <f>('DOE Fuel Esc Rates'!N398)/((1+DOEUPV_femp_disc)^$A189)+N188</f>
        <v>15.663401611605751</v>
      </c>
      <c r="O189" s="15">
        <f>('DOE Fuel Esc Rates'!O398)/((1+DOEUPV_femp_disc)^$A189)+O188</f>
        <v>17.079991053030387</v>
      </c>
      <c r="P189" s="15">
        <f>('DOE Fuel Esc Rates'!P398)/((1+DOEUPV_femp_disc)^$A189)+P188</f>
        <v>19.240825133077312</v>
      </c>
      <c r="Q189" s="15">
        <f>('DOE Fuel Esc Rates'!Q398)/((1+DOEUPV_femp_disc)^$A189)+Q188</f>
        <v>19.916564873538501</v>
      </c>
      <c r="R189" s="15">
        <f>('DOE Fuel Esc Rates'!R398)/((1+DOEUPV_femp_disc)^$A189)+R188</f>
        <v>16.418144575745877</v>
      </c>
      <c r="T189" s="33">
        <v>20</v>
      </c>
      <c r="U189" s="33"/>
    </row>
    <row r="190" spans="1:21" x14ac:dyDescent="0.2">
      <c r="A190" s="33">
        <v>21</v>
      </c>
      <c r="C190" s="15">
        <f>('DOE Fuel Esc Rates'!C399)/((1+DOEUPV_femp_disc)^$A190)+C189</f>
        <v>16.929924229169966</v>
      </c>
      <c r="D190" s="15">
        <f>('DOE Fuel Esc Rates'!D399)/((1+DOEUPV_femp_disc)^$A190)+D189</f>
        <v>18.091361474735898</v>
      </c>
      <c r="E190" s="15">
        <f>('DOE Fuel Esc Rates'!E399)/((1+DOEUPV_femp_disc)^$A190)+E189</f>
        <v>18.095434158391441</v>
      </c>
      <c r="F190" s="15">
        <f>('DOE Fuel Esc Rates'!F399)/((1+DOEUPV_femp_disc)^$A190)+F189</f>
        <v>16.839417478679206</v>
      </c>
      <c r="G190"/>
      <c r="H190" s="15">
        <f>('DOE Fuel Esc Rates'!H399)/((1+DOEUPV_femp_disc)^$A190)+H189</f>
        <v>16.489308515818021</v>
      </c>
      <c r="I190" s="15">
        <f>('DOE Fuel Esc Rates'!I399)/((1+DOEUPV_femp_disc)^$A190)+I189</f>
        <v>18.079148627141578</v>
      </c>
      <c r="J190" s="15">
        <f>('DOE Fuel Esc Rates'!J399)/((1+DOEUPV_femp_disc)^$A190)+J189</f>
        <v>19.319567315958061</v>
      </c>
      <c r="K190" s="15">
        <f>('DOE Fuel Esc Rates'!K399)/((1+DOEUPV_femp_disc)^$A190)+K189</f>
        <v>18.09749058147138</v>
      </c>
      <c r="L190" s="15">
        <f>('DOE Fuel Esc Rates'!L399)/((1+DOEUPV_femp_disc)^$A190)+L189</f>
        <v>16.765284690449104</v>
      </c>
      <c r="N190" s="15">
        <f>('DOE Fuel Esc Rates'!N399)/((1+DOEUPV_femp_disc)^$A190)+N189</f>
        <v>16.266147420019607</v>
      </c>
      <c r="O190" s="15">
        <f>('DOE Fuel Esc Rates'!O399)/((1+DOEUPV_femp_disc)^$A190)+O189</f>
        <v>17.859516322640449</v>
      </c>
      <c r="P190" s="15">
        <f>('DOE Fuel Esc Rates'!P399)/((1+DOEUPV_femp_disc)^$A190)+P189</f>
        <v>20.167475257071494</v>
      </c>
      <c r="Q190" s="15">
        <f>('DOE Fuel Esc Rates'!Q399)/((1+DOEUPV_femp_disc)^$A190)+Q189</f>
        <v>20.779799140511965</v>
      </c>
      <c r="R190" s="15">
        <f>('DOE Fuel Esc Rates'!R399)/((1+DOEUPV_femp_disc)^$A190)+R189</f>
        <v>17.064237455444271</v>
      </c>
      <c r="T190" s="33">
        <v>21</v>
      </c>
      <c r="U190" s="33"/>
    </row>
    <row r="191" spans="1:21" x14ac:dyDescent="0.2">
      <c r="A191" s="33">
        <v>22</v>
      </c>
      <c r="C191" s="15">
        <f>('DOE Fuel Esc Rates'!C400)/((1+DOEUPV_femp_disc)^$A191)+C190</f>
        <v>17.535997695590392</v>
      </c>
      <c r="D191" s="15">
        <f>('DOE Fuel Esc Rates'!D400)/((1+DOEUPV_femp_disc)^$A191)+D190</f>
        <v>18.87356033824604</v>
      </c>
      <c r="E191" s="15">
        <f>('DOE Fuel Esc Rates'!E400)/((1+DOEUPV_femp_disc)^$A191)+E190</f>
        <v>18.808066541467372</v>
      </c>
      <c r="F191" s="15">
        <f>('DOE Fuel Esc Rates'!F400)/((1+DOEUPV_femp_disc)^$A191)+F190</f>
        <v>17.461257089790806</v>
      </c>
      <c r="G191"/>
      <c r="H191" s="15">
        <f>('DOE Fuel Esc Rates'!H400)/((1+DOEUPV_femp_disc)^$A191)+H190</f>
        <v>17.073156062077011</v>
      </c>
      <c r="I191" s="15">
        <f>('DOE Fuel Esc Rates'!I400)/((1+DOEUPV_femp_disc)^$A191)+I190</f>
        <v>18.865515444946134</v>
      </c>
      <c r="J191" s="15">
        <f>('DOE Fuel Esc Rates'!J400)/((1+DOEUPV_femp_disc)^$A191)+J190</f>
        <v>20.191144000273621</v>
      </c>
      <c r="K191" s="15">
        <f>('DOE Fuel Esc Rates'!K400)/((1+DOEUPV_femp_disc)^$A191)+K190</f>
        <v>18.800910908747909</v>
      </c>
      <c r="L191" s="15">
        <f>('DOE Fuel Esc Rates'!L400)/((1+DOEUPV_femp_disc)^$A191)+L190</f>
        <v>17.381333054892981</v>
      </c>
      <c r="N191" s="15">
        <f>('DOE Fuel Esc Rates'!N400)/((1+DOEUPV_femp_disc)^$A191)+N190</f>
        <v>16.856091100307783</v>
      </c>
      <c r="O191" s="15">
        <f>('DOE Fuel Esc Rates'!O400)/((1+DOEUPV_femp_disc)^$A191)+O190</f>
        <v>18.633682373558653</v>
      </c>
      <c r="P191" s="15">
        <f>('DOE Fuel Esc Rates'!P400)/((1+DOEUPV_femp_disc)^$A191)+P190</f>
        <v>21.090857958032707</v>
      </c>
      <c r="Q191" s="15">
        <f>('DOE Fuel Esc Rates'!Q400)/((1+DOEUPV_femp_disc)^$A191)+Q190</f>
        <v>21.633208261452044</v>
      </c>
      <c r="R191" s="15">
        <f>('DOE Fuel Esc Rates'!R400)/((1+DOEUPV_femp_disc)^$A191)+R190</f>
        <v>17.696530293052017</v>
      </c>
      <c r="T191" s="33">
        <v>22</v>
      </c>
      <c r="U191" s="33"/>
    </row>
    <row r="192" spans="1:21" x14ac:dyDescent="0.2">
      <c r="A192" s="33">
        <v>23</v>
      </c>
      <c r="C192" s="15">
        <f>('DOE Fuel Esc Rates'!C401)/((1+DOEUPV_femp_disc)^$A192)+C191</f>
        <v>18.129285067692393</v>
      </c>
      <c r="D192" s="15">
        <f>('DOE Fuel Esc Rates'!D401)/((1+DOEUPV_femp_disc)^$A192)+D191</f>
        <v>19.651365719602069</v>
      </c>
      <c r="E192" s="15">
        <f>('DOE Fuel Esc Rates'!E401)/((1+DOEUPV_femp_disc)^$A192)+E191</f>
        <v>19.515089646556831</v>
      </c>
      <c r="F192" s="15">
        <f>('DOE Fuel Esc Rates'!F401)/((1+DOEUPV_femp_disc)^$A192)+F191</f>
        <v>18.069661302718384</v>
      </c>
      <c r="G192"/>
      <c r="H192" s="15">
        <f>('DOE Fuel Esc Rates'!H401)/((1+DOEUPV_femp_disc)^$A192)+H191</f>
        <v>17.645095842497653</v>
      </c>
      <c r="I192" s="15">
        <f>('DOE Fuel Esc Rates'!I401)/((1+DOEUPV_femp_disc)^$A192)+I191</f>
        <v>19.647754133182861</v>
      </c>
      <c r="J192" s="15">
        <f>('DOE Fuel Esc Rates'!J401)/((1+DOEUPV_femp_disc)^$A192)+J191</f>
        <v>21.059365031938476</v>
      </c>
      <c r="K192" s="15">
        <f>('DOE Fuel Esc Rates'!K401)/((1+DOEUPV_femp_disc)^$A192)+K191</f>
        <v>19.499323859286136</v>
      </c>
      <c r="L192" s="15">
        <f>('DOE Fuel Esc Rates'!L401)/((1+DOEUPV_femp_disc)^$A192)+L191</f>
        <v>17.98335598279527</v>
      </c>
      <c r="N192" s="15">
        <f>('DOE Fuel Esc Rates'!N401)/((1+DOEUPV_femp_disc)^$A192)+N191</f>
        <v>17.435653186479044</v>
      </c>
      <c r="O192" s="15">
        <f>('DOE Fuel Esc Rates'!O401)/((1+DOEUPV_femp_disc)^$A192)+O191</f>
        <v>19.403873643165863</v>
      </c>
      <c r="P192" s="15">
        <f>('DOE Fuel Esc Rates'!P401)/((1+DOEUPV_femp_disc)^$A192)+P191</f>
        <v>22.011681126919949</v>
      </c>
      <c r="Q192" s="15">
        <f>('DOE Fuel Esc Rates'!Q401)/((1+DOEUPV_femp_disc)^$A192)+Q191</f>
        <v>22.480881249391029</v>
      </c>
      <c r="R192" s="15">
        <f>('DOE Fuel Esc Rates'!R401)/((1+DOEUPV_femp_disc)^$A192)+R191</f>
        <v>18.315278870461356</v>
      </c>
      <c r="T192" s="33">
        <v>23</v>
      </c>
      <c r="U192" s="33"/>
    </row>
    <row r="193" spans="1:21" x14ac:dyDescent="0.2">
      <c r="A193" s="33">
        <v>24</v>
      </c>
      <c r="C193" s="15">
        <f>('DOE Fuel Esc Rates'!C402)/((1+DOEUPV_femp_disc)^$A193)+C192</f>
        <v>18.710989762697249</v>
      </c>
      <c r="D193" s="15">
        <f>('DOE Fuel Esc Rates'!D402)/((1+DOEUPV_femp_disc)^$A193)+D192</f>
        <v>20.424128719845054</v>
      </c>
      <c r="E193" s="15">
        <f>('DOE Fuel Esc Rates'!E402)/((1+DOEUPV_femp_disc)^$A193)+E192</f>
        <v>20.221918255183514</v>
      </c>
      <c r="F193" s="15">
        <f>('DOE Fuel Esc Rates'!F402)/((1+DOEUPV_femp_disc)^$A193)+F192</f>
        <v>18.665793278550204</v>
      </c>
      <c r="G193"/>
      <c r="H193" s="15">
        <f>('DOE Fuel Esc Rates'!H402)/((1+DOEUPV_femp_disc)^$A193)+H192</f>
        <v>18.206480988293546</v>
      </c>
      <c r="I193" s="15">
        <f>('DOE Fuel Esc Rates'!I402)/((1+DOEUPV_femp_disc)^$A193)+I192</f>
        <v>20.425438061887835</v>
      </c>
      <c r="J193" s="15">
        <f>('DOE Fuel Esc Rates'!J402)/((1+DOEUPV_femp_disc)^$A193)+J192</f>
        <v>21.935144579629853</v>
      </c>
      <c r="K193" s="15">
        <f>('DOE Fuel Esc Rates'!K402)/((1+DOEUPV_femp_disc)^$A193)+K192</f>
        <v>20.199361173865626</v>
      </c>
      <c r="L193" s="15">
        <f>('DOE Fuel Esc Rates'!L402)/((1+DOEUPV_femp_disc)^$A193)+L192</f>
        <v>18.574183614584474</v>
      </c>
      <c r="N193" s="15">
        <f>('DOE Fuel Esc Rates'!N402)/((1+DOEUPV_femp_disc)^$A193)+N192</f>
        <v>18.00635291895345</v>
      </c>
      <c r="O193" s="15">
        <f>('DOE Fuel Esc Rates'!O402)/((1+DOEUPV_femp_disc)^$A193)+O192</f>
        <v>20.16918404530108</v>
      </c>
      <c r="P193" s="15">
        <f>('DOE Fuel Esc Rates'!P402)/((1+DOEUPV_femp_disc)^$A193)+P192</f>
        <v>22.942389379377033</v>
      </c>
      <c r="Q193" s="15">
        <f>('DOE Fuel Esc Rates'!Q402)/((1+DOEUPV_femp_disc)^$A193)+Q192</f>
        <v>23.334803961527538</v>
      </c>
      <c r="R193" s="15">
        <f>('DOE Fuel Esc Rates'!R402)/((1+DOEUPV_femp_disc)^$A193)+R192</f>
        <v>18.922312487418765</v>
      </c>
      <c r="T193" s="33">
        <v>24</v>
      </c>
      <c r="U193" s="33"/>
    </row>
    <row r="194" spans="1:21" x14ac:dyDescent="0.2">
      <c r="A194" s="33">
        <v>25</v>
      </c>
      <c r="C194" s="15">
        <f>('DOE Fuel Esc Rates'!C403)/((1+DOEUPV_femp_disc)^$A194)+C193</f>
        <v>19.281957776571641</v>
      </c>
      <c r="D194" s="15">
        <f>('DOE Fuel Esc Rates'!D403)/((1+DOEUPV_femp_disc)^$A194)+D193</f>
        <v>21.190780523765316</v>
      </c>
      <c r="E194" s="15">
        <f>('DOE Fuel Esc Rates'!E403)/((1+DOEUPV_femp_disc)^$A194)+E193</f>
        <v>20.928885033213067</v>
      </c>
      <c r="F194" s="15">
        <f>('DOE Fuel Esc Rates'!F403)/((1+DOEUPV_femp_disc)^$A194)+F193</f>
        <v>19.250953770654359</v>
      </c>
      <c r="G194"/>
      <c r="H194" s="15">
        <f>('DOE Fuel Esc Rates'!H403)/((1+DOEUPV_femp_disc)^$A194)+H193</f>
        <v>18.757761460928901</v>
      </c>
      <c r="I194" s="15">
        <f>('DOE Fuel Esc Rates'!I403)/((1+DOEUPV_femp_disc)^$A194)+I193</f>
        <v>21.197212309262586</v>
      </c>
      <c r="J194" s="15">
        <f>('DOE Fuel Esc Rates'!J403)/((1+DOEUPV_femp_disc)^$A194)+J193</f>
        <v>22.826576092444316</v>
      </c>
      <c r="K194" s="15">
        <f>('DOE Fuel Esc Rates'!K403)/((1+DOEUPV_femp_disc)^$A194)+K193</f>
        <v>20.902019426175375</v>
      </c>
      <c r="L194" s="15">
        <f>('DOE Fuel Esc Rates'!L403)/((1+DOEUPV_femp_disc)^$A194)+L193</f>
        <v>19.152726443329268</v>
      </c>
      <c r="N194" s="15">
        <f>('DOE Fuel Esc Rates'!N403)/((1+DOEUPV_femp_disc)^$A194)+N193</f>
        <v>18.568901760600571</v>
      </c>
      <c r="O194" s="15">
        <f>('DOE Fuel Esc Rates'!O403)/((1+DOEUPV_femp_disc)^$A194)+O193</f>
        <v>20.928777653501196</v>
      </c>
      <c r="P194" s="15">
        <f>('DOE Fuel Esc Rates'!P403)/((1+DOEUPV_femp_disc)^$A194)+P193</f>
        <v>23.891046753656624</v>
      </c>
      <c r="Q194" s="15">
        <f>('DOE Fuel Esc Rates'!Q403)/((1+DOEUPV_femp_disc)^$A194)+Q193</f>
        <v>24.203905919848545</v>
      </c>
      <c r="R194" s="15">
        <f>('DOE Fuel Esc Rates'!R403)/((1+DOEUPV_femp_disc)^$A194)+R193</f>
        <v>19.516257874833904</v>
      </c>
      <c r="T194" s="33">
        <v>25</v>
      </c>
      <c r="U194" s="33"/>
    </row>
    <row r="195" spans="1:21" x14ac:dyDescent="0.2">
      <c r="A195" s="33">
        <v>26</v>
      </c>
      <c r="C195" s="15">
        <f>('DOE Fuel Esc Rates'!C404)/((1+DOEUPV_femp_disc)^$A195)+C194</f>
        <v>19.839963296031534</v>
      </c>
      <c r="D195" s="15">
        <f>('DOE Fuel Esc Rates'!D404)/((1+DOEUPV_femp_disc)^$A195)+D194</f>
        <v>21.950794147649319</v>
      </c>
      <c r="E195" s="15">
        <f>('DOE Fuel Esc Rates'!E404)/((1+DOEUPV_femp_disc)^$A195)+E194</f>
        <v>21.625544999798592</v>
      </c>
      <c r="F195" s="15">
        <f>('DOE Fuel Esc Rates'!F404)/((1+DOEUPV_femp_disc)^$A195)+F194</f>
        <v>19.823350353902168</v>
      </c>
      <c r="G195"/>
      <c r="H195" s="15">
        <f>('DOE Fuel Esc Rates'!H404)/((1+DOEUPV_femp_disc)^$A195)+H194</f>
        <v>19.29640617449261</v>
      </c>
      <c r="I195" s="15">
        <f>('DOE Fuel Esc Rates'!I404)/((1+DOEUPV_femp_disc)^$A195)+I194</f>
        <v>21.962761391067669</v>
      </c>
      <c r="J195" s="15">
        <f>('DOE Fuel Esc Rates'!J404)/((1+DOEUPV_femp_disc)^$A195)+J194</f>
        <v>23.721204506795779</v>
      </c>
      <c r="K195" s="15">
        <f>('DOE Fuel Esc Rates'!K404)/((1+DOEUPV_femp_disc)^$A195)+K194</f>
        <v>21.595654429734971</v>
      </c>
      <c r="L195" s="15">
        <f>('DOE Fuel Esc Rates'!L404)/((1+DOEUPV_femp_disc)^$A195)+L194</f>
        <v>19.718003778582908</v>
      </c>
      <c r="N195" s="15">
        <f>('DOE Fuel Esc Rates'!N404)/((1+DOEUPV_femp_disc)^$A195)+N194</f>
        <v>19.119956041195035</v>
      </c>
      <c r="O195" s="15">
        <f>('DOE Fuel Esc Rates'!O404)/((1+DOEUPV_femp_disc)^$A195)+O194</f>
        <v>21.682111609515658</v>
      </c>
      <c r="P195" s="15">
        <f>('DOE Fuel Esc Rates'!P404)/((1+DOEUPV_femp_disc)^$A195)+P194</f>
        <v>24.844285400028919</v>
      </c>
      <c r="Q195" s="15">
        <f>('DOE Fuel Esc Rates'!Q404)/((1+DOEUPV_femp_disc)^$A195)+Q194</f>
        <v>25.068108462181524</v>
      </c>
      <c r="R195" s="15">
        <f>('DOE Fuel Esc Rates'!R404)/((1+DOEUPV_femp_disc)^$A195)+R194</f>
        <v>20.113710696725825</v>
      </c>
      <c r="T195" s="33">
        <v>26</v>
      </c>
      <c r="U195" s="33"/>
    </row>
    <row r="196" spans="1:21" x14ac:dyDescent="0.2">
      <c r="A196" s="33">
        <v>27</v>
      </c>
      <c r="C196" s="15">
        <f>('DOE Fuel Esc Rates'!C405)/((1+DOEUPV_femp_disc)^$A196)+C195</f>
        <v>20.384641184687975</v>
      </c>
      <c r="D196" s="15">
        <f>('DOE Fuel Esc Rates'!D405)/((1+DOEUPV_femp_disc)^$A196)+D195</f>
        <v>22.704126692167229</v>
      </c>
      <c r="E196" s="15">
        <f>('DOE Fuel Esc Rates'!E405)/((1+DOEUPV_femp_disc)^$A196)+E195</f>
        <v>22.308425795091932</v>
      </c>
      <c r="F196" s="15">
        <f>('DOE Fuel Esc Rates'!F405)/((1+DOEUPV_femp_disc)^$A196)+F195</f>
        <v>20.38281464886137</v>
      </c>
      <c r="G196"/>
      <c r="H196" s="15">
        <f>('DOE Fuel Esc Rates'!H405)/((1+DOEUPV_femp_disc)^$A196)+H195</f>
        <v>19.82192867721556</v>
      </c>
      <c r="I196" s="15">
        <f>('DOE Fuel Esc Rates'!I405)/((1+DOEUPV_femp_disc)^$A196)+I195</f>
        <v>22.721793214183627</v>
      </c>
      <c r="J196" s="15">
        <f>('DOE Fuel Esc Rates'!J405)/((1+DOEUPV_femp_disc)^$A196)+J195</f>
        <v>24.614592105038572</v>
      </c>
      <c r="K196" s="15">
        <f>('DOE Fuel Esc Rates'!K405)/((1+DOEUPV_femp_disc)^$A196)+K195</f>
        <v>22.277550661088412</v>
      </c>
      <c r="L196" s="15">
        <f>('DOE Fuel Esc Rates'!L405)/((1+DOEUPV_femp_disc)^$A196)+L195</f>
        <v>20.271457849717343</v>
      </c>
      <c r="N196" s="15">
        <f>('DOE Fuel Esc Rates'!N405)/((1+DOEUPV_femp_disc)^$A196)+N195</f>
        <v>19.658844858187628</v>
      </c>
      <c r="O196" s="15">
        <f>('DOE Fuel Esc Rates'!O405)/((1+DOEUPV_femp_disc)^$A196)+O195</f>
        <v>22.428906162432686</v>
      </c>
      <c r="P196" s="15">
        <f>('DOE Fuel Esc Rates'!P405)/((1+DOEUPV_femp_disc)^$A196)+P195</f>
        <v>25.797172698167298</v>
      </c>
      <c r="Q196" s="15">
        <f>('DOE Fuel Esc Rates'!Q405)/((1+DOEUPV_femp_disc)^$A196)+Q195</f>
        <v>25.922240737795388</v>
      </c>
      <c r="R196" s="15">
        <f>('DOE Fuel Esc Rates'!R405)/((1+DOEUPV_femp_disc)^$A196)+R195</f>
        <v>20.705305289238233</v>
      </c>
      <c r="T196" s="33">
        <v>27</v>
      </c>
      <c r="U196" s="33"/>
    </row>
    <row r="197" spans="1:21" x14ac:dyDescent="0.2">
      <c r="A197" s="33">
        <v>28</v>
      </c>
      <c r="C197" s="15">
        <f>('DOE Fuel Esc Rates'!C406)/((1+DOEUPV_femp_disc)^$A197)+C196</f>
        <v>20.916170965026588</v>
      </c>
      <c r="D197" s="15">
        <f>('DOE Fuel Esc Rates'!D406)/((1+DOEUPV_femp_disc)^$A197)+D196</f>
        <v>23.451165674412906</v>
      </c>
      <c r="E197" s="15">
        <f>('DOE Fuel Esc Rates'!E406)/((1+DOEUPV_femp_disc)^$A197)+E196</f>
        <v>22.978160569236394</v>
      </c>
      <c r="F197" s="15">
        <f>('DOE Fuel Esc Rates'!F406)/((1+DOEUPV_femp_disc)^$A197)+F196</f>
        <v>20.929614407903834</v>
      </c>
      <c r="G197"/>
      <c r="H197" s="15">
        <f>('DOE Fuel Esc Rates'!H406)/((1+DOEUPV_femp_disc)^$A197)+H196</f>
        <v>20.334489846174975</v>
      </c>
      <c r="I197" s="15">
        <f>('DOE Fuel Esc Rates'!I406)/((1+DOEUPV_femp_disc)^$A197)+I196</f>
        <v>23.474694581688016</v>
      </c>
      <c r="J197" s="15">
        <f>('DOE Fuel Esc Rates'!J406)/((1+DOEUPV_femp_disc)^$A197)+J196</f>
        <v>25.506730912558019</v>
      </c>
      <c r="K197" s="15">
        <f>('DOE Fuel Esc Rates'!K406)/((1+DOEUPV_femp_disc)^$A197)+K196</f>
        <v>22.94728989273851</v>
      </c>
      <c r="L197" s="15">
        <f>('DOE Fuel Esc Rates'!L406)/((1+DOEUPV_femp_disc)^$A197)+L196</f>
        <v>20.81217135879416</v>
      </c>
      <c r="N197" s="15">
        <f>('DOE Fuel Esc Rates'!N406)/((1+DOEUPV_femp_disc)^$A197)+N196</f>
        <v>20.185809400001443</v>
      </c>
      <c r="O197" s="15">
        <f>('DOE Fuel Esc Rates'!O406)/((1+DOEUPV_femp_disc)^$A197)+O196</f>
        <v>23.169544042805054</v>
      </c>
      <c r="P197" s="15">
        <f>('DOE Fuel Esc Rates'!P406)/((1+DOEUPV_femp_disc)^$A197)+P196</f>
        <v>26.74967015083115</v>
      </c>
      <c r="Q197" s="15">
        <f>('DOE Fuel Esc Rates'!Q406)/((1+DOEUPV_femp_disc)^$A197)+Q196</f>
        <v>26.765239926300193</v>
      </c>
      <c r="R197" s="15">
        <f>('DOE Fuel Esc Rates'!R406)/((1+DOEUPV_femp_disc)^$A197)+R196</f>
        <v>21.283871632377288</v>
      </c>
      <c r="T197" s="33">
        <v>28</v>
      </c>
      <c r="U197" s="33"/>
    </row>
    <row r="198" spans="1:21" x14ac:dyDescent="0.2">
      <c r="A198" s="33">
        <v>29</v>
      </c>
      <c r="C198" s="15">
        <f>('DOE Fuel Esc Rates'!C407)/((1+DOEUPV_femp_disc)^$A198)+C197</f>
        <v>21.434976348088846</v>
      </c>
      <c r="D198" s="15">
        <f>('DOE Fuel Esc Rates'!D407)/((1+DOEUPV_femp_disc)^$A198)+D197</f>
        <v>24.192054860186779</v>
      </c>
      <c r="E198" s="15">
        <f>('DOE Fuel Esc Rates'!E407)/((1+DOEUPV_femp_disc)^$A198)+E197</f>
        <v>23.634935797292055</v>
      </c>
      <c r="F198" s="15">
        <f>('DOE Fuel Esc Rates'!F407)/((1+DOEUPV_femp_disc)^$A198)+F197</f>
        <v>21.464208579146465</v>
      </c>
      <c r="G198"/>
      <c r="H198" s="15">
        <f>('DOE Fuel Esc Rates'!H407)/((1+DOEUPV_femp_disc)^$A198)+H197</f>
        <v>20.83454119330008</v>
      </c>
      <c r="I198" s="15">
        <f>('DOE Fuel Esc Rates'!I407)/((1+DOEUPV_femp_disc)^$A198)+I197</f>
        <v>24.22160367707578</v>
      </c>
      <c r="J198" s="15">
        <f>('DOE Fuel Esc Rates'!J407)/((1+DOEUPV_femp_disc)^$A198)+J197</f>
        <v>26.39726524276038</v>
      </c>
      <c r="K198" s="15">
        <f>('DOE Fuel Esc Rates'!K407)/((1+DOEUPV_femp_disc)^$A198)+K197</f>
        <v>23.605500466460985</v>
      </c>
      <c r="L198" s="15">
        <f>('DOE Fuel Esc Rates'!L407)/((1+DOEUPV_femp_disc)^$A198)+L197</f>
        <v>21.340416959287893</v>
      </c>
      <c r="N198" s="15">
        <f>('DOE Fuel Esc Rates'!N407)/((1+DOEUPV_femp_disc)^$A198)+N197</f>
        <v>20.701087125653125</v>
      </c>
      <c r="O198" s="15">
        <f>('DOE Fuel Esc Rates'!O407)/((1+DOEUPV_femp_disc)^$A198)+O197</f>
        <v>23.904165164638634</v>
      </c>
      <c r="P198" s="15">
        <f>('DOE Fuel Esc Rates'!P407)/((1+DOEUPV_femp_disc)^$A198)+P197</f>
        <v>27.701356031978765</v>
      </c>
      <c r="Q198" s="15">
        <f>('DOE Fuel Esc Rates'!Q407)/((1+DOEUPV_femp_disc)^$A198)+Q197</f>
        <v>27.597919580627437</v>
      </c>
      <c r="R198" s="15">
        <f>('DOE Fuel Esc Rates'!R407)/((1+DOEUPV_femp_disc)^$A198)+R197</f>
        <v>21.849666782112468</v>
      </c>
      <c r="T198" s="33">
        <v>29</v>
      </c>
      <c r="U198" s="33"/>
    </row>
    <row r="199" spans="1:21" x14ac:dyDescent="0.2">
      <c r="A199" s="33">
        <v>30</v>
      </c>
      <c r="C199" s="15">
        <f>('DOE Fuel Esc Rates'!C408)/((1+DOEUPV_femp_disc)^$A199)+C198</f>
        <v>21.941347644883678</v>
      </c>
      <c r="D199" s="15">
        <f>('DOE Fuel Esc Rates'!D408)/((1+DOEUPV_femp_disc)^$A199)+D198</f>
        <v>24.926922856439528</v>
      </c>
      <c r="E199" s="15">
        <f>('DOE Fuel Esc Rates'!E408)/((1+DOEUPV_femp_disc)^$A199)+E198</f>
        <v>24.278938243941319</v>
      </c>
      <c r="F199" s="15">
        <f>('DOE Fuel Esc Rates'!F408)/((1+DOEUPV_femp_disc)^$A199)+F198</f>
        <v>21.986844297609423</v>
      </c>
      <c r="G199"/>
      <c r="H199" s="15">
        <f>('DOE Fuel Esc Rates'!H408)/((1+DOEUPV_femp_disc)^$A199)+H198</f>
        <v>21.322238463954388</v>
      </c>
      <c r="I199" s="15">
        <f>('DOE Fuel Esc Rates'!I408)/((1+DOEUPV_femp_disc)^$A199)+I198</f>
        <v>24.962643456835988</v>
      </c>
      <c r="J199" s="15">
        <f>('DOE Fuel Esc Rates'!J408)/((1+DOEUPV_femp_disc)^$A199)+J198</f>
        <v>27.286491323081979</v>
      </c>
      <c r="K199" s="15">
        <f>('DOE Fuel Esc Rates'!K408)/((1+DOEUPV_femp_disc)^$A199)+K198</f>
        <v>24.252769911199842</v>
      </c>
      <c r="L199" s="15">
        <f>('DOE Fuel Esc Rates'!L408)/((1+DOEUPV_femp_disc)^$A199)+L198</f>
        <v>21.857524051773066</v>
      </c>
      <c r="N199" s="15">
        <f>('DOE Fuel Esc Rates'!N408)/((1+DOEUPV_femp_disc)^$A199)+N198</f>
        <v>21.204911777390937</v>
      </c>
      <c r="O199" s="15">
        <f>('DOE Fuel Esc Rates'!O408)/((1+DOEUPV_femp_disc)^$A199)+O198</f>
        <v>24.63289443281462</v>
      </c>
      <c r="P199" s="15">
        <f>('DOE Fuel Esc Rates'!P408)/((1+DOEUPV_femp_disc)^$A199)+P198</f>
        <v>28.652529579677584</v>
      </c>
      <c r="Q199" s="15">
        <f>('DOE Fuel Esc Rates'!Q408)/((1+DOEUPV_femp_disc)^$A199)+Q198</f>
        <v>28.421029395760897</v>
      </c>
      <c r="R199" s="15">
        <f>('DOE Fuel Esc Rates'!R408)/((1+DOEUPV_femp_disc)^$A199)+R198</f>
        <v>22.404264342999266</v>
      </c>
      <c r="T199" s="33">
        <v>30</v>
      </c>
      <c r="U199" s="33"/>
    </row>
    <row r="200" spans="1:21" ht="3" customHeight="1" x14ac:dyDescent="0.2">
      <c r="G200"/>
      <c r="H200"/>
      <c r="I200"/>
      <c r="J200"/>
      <c r="K200"/>
      <c r="L200"/>
      <c r="N200"/>
      <c r="O200"/>
      <c r="P200"/>
      <c r="Q200"/>
      <c r="R200"/>
    </row>
    <row r="201" spans="1:21" x14ac:dyDescent="0.2">
      <c r="A201"/>
      <c r="B201"/>
      <c r="C201"/>
      <c r="D201"/>
      <c r="E201"/>
      <c r="F201"/>
      <c r="G201"/>
      <c r="H201"/>
      <c r="I201"/>
      <c r="J201"/>
      <c r="K201"/>
      <c r="L201"/>
      <c r="M201"/>
      <c r="N201"/>
      <c r="O201"/>
      <c r="P201"/>
      <c r="Q201"/>
      <c r="R201"/>
      <c r="S201"/>
      <c r="T201"/>
      <c r="U201" s="5"/>
    </row>
    <row r="202" spans="1:21" x14ac:dyDescent="0.2">
      <c r="A202"/>
      <c r="B202"/>
      <c r="C202"/>
      <c r="D202"/>
      <c r="E202"/>
      <c r="F202"/>
      <c r="G202"/>
      <c r="H202"/>
      <c r="I202"/>
      <c r="J202"/>
      <c r="K202"/>
      <c r="L202"/>
      <c r="M202"/>
      <c r="N202"/>
      <c r="O202"/>
      <c r="P202"/>
      <c r="Q202"/>
      <c r="R202"/>
      <c r="S202"/>
      <c r="T202"/>
      <c r="U202"/>
    </row>
    <row r="203" spans="1:21" x14ac:dyDescent="0.2">
      <c r="A203"/>
      <c r="B203"/>
      <c r="C203"/>
      <c r="D203"/>
      <c r="E203"/>
      <c r="F203"/>
      <c r="G203"/>
      <c r="H203"/>
      <c r="I203"/>
      <c r="J203"/>
      <c r="K203"/>
      <c r="L203"/>
      <c r="M203"/>
      <c r="N203"/>
      <c r="O203"/>
      <c r="P203"/>
      <c r="Q203"/>
      <c r="R203"/>
      <c r="S203"/>
      <c r="T203"/>
      <c r="U203"/>
    </row>
    <row r="204" spans="1:21" x14ac:dyDescent="0.2">
      <c r="A204"/>
      <c r="B204"/>
      <c r="C204"/>
      <c r="D204"/>
      <c r="E204"/>
      <c r="F204"/>
      <c r="G204"/>
      <c r="H204"/>
      <c r="I204"/>
      <c r="J204"/>
      <c r="K204"/>
      <c r="L204"/>
      <c r="M204"/>
      <c r="N204"/>
      <c r="O204"/>
      <c r="P204"/>
      <c r="Q204"/>
      <c r="R204"/>
      <c r="S204"/>
      <c r="T204"/>
      <c r="U204"/>
    </row>
    <row r="205" spans="1:21" x14ac:dyDescent="0.2">
      <c r="A205"/>
      <c r="B205"/>
      <c r="C205"/>
      <c r="D205"/>
      <c r="E205"/>
      <c r="F205"/>
      <c r="G205"/>
      <c r="H205"/>
      <c r="I205"/>
      <c r="J205"/>
      <c r="K205"/>
      <c r="L205"/>
      <c r="M205"/>
      <c r="N205"/>
      <c r="O205"/>
      <c r="P205"/>
      <c r="Q205"/>
      <c r="R205"/>
      <c r="S205"/>
      <c r="T205"/>
      <c r="U205"/>
    </row>
    <row r="206" spans="1:21" x14ac:dyDescent="0.2">
      <c r="A206"/>
      <c r="B206"/>
      <c r="C206"/>
      <c r="D206"/>
      <c r="E206"/>
      <c r="F206"/>
      <c r="G206"/>
      <c r="H206"/>
      <c r="I206"/>
      <c r="J206"/>
      <c r="K206"/>
      <c r="L206"/>
      <c r="M206"/>
      <c r="N206"/>
      <c r="O206"/>
      <c r="P206"/>
      <c r="Q206"/>
      <c r="R206"/>
      <c r="S206"/>
      <c r="T206"/>
      <c r="U206"/>
    </row>
    <row r="207" spans="1:21" x14ac:dyDescent="0.2">
      <c r="A207"/>
      <c r="B207"/>
      <c r="C207"/>
      <c r="D207"/>
      <c r="E207"/>
      <c r="F207"/>
      <c r="G207"/>
      <c r="H207"/>
      <c r="I207"/>
      <c r="J207"/>
      <c r="K207"/>
      <c r="L207"/>
      <c r="M207"/>
      <c r="N207"/>
      <c r="O207"/>
      <c r="P207"/>
      <c r="Q207"/>
      <c r="R207"/>
      <c r="S207"/>
      <c r="T207"/>
      <c r="U207" s="10"/>
    </row>
    <row r="208" spans="1:21" x14ac:dyDescent="0.2">
      <c r="A208"/>
      <c r="B208"/>
      <c r="C208"/>
      <c r="D208"/>
      <c r="E208"/>
      <c r="F208"/>
      <c r="G208"/>
      <c r="H208"/>
      <c r="I208"/>
      <c r="J208"/>
      <c r="K208"/>
      <c r="L208"/>
      <c r="M208"/>
      <c r="N208"/>
      <c r="O208"/>
      <c r="P208"/>
      <c r="Q208"/>
      <c r="R208"/>
      <c r="S208"/>
      <c r="T208"/>
      <c r="U208" s="10"/>
    </row>
    <row r="209" spans="1:21" x14ac:dyDescent="0.2">
      <c r="A209"/>
      <c r="B209"/>
      <c r="C209"/>
      <c r="D209"/>
      <c r="E209"/>
      <c r="F209"/>
      <c r="G209"/>
      <c r="H209"/>
      <c r="I209"/>
      <c r="J209"/>
      <c r="K209"/>
      <c r="L209"/>
      <c r="M209"/>
      <c r="N209"/>
      <c r="O209"/>
      <c r="P209"/>
      <c r="Q209"/>
      <c r="R209"/>
      <c r="S209"/>
      <c r="T209"/>
      <c r="U209" s="10"/>
    </row>
    <row r="210" spans="1:21" x14ac:dyDescent="0.2">
      <c r="A210"/>
      <c r="B210"/>
      <c r="C210"/>
      <c r="D210"/>
      <c r="E210"/>
      <c r="F210"/>
      <c r="G210"/>
      <c r="H210"/>
      <c r="I210"/>
      <c r="J210"/>
      <c r="K210"/>
      <c r="L210"/>
      <c r="M210"/>
      <c r="N210"/>
      <c r="O210"/>
      <c r="P210"/>
      <c r="Q210"/>
      <c r="R210"/>
      <c r="S210"/>
      <c r="T210"/>
      <c r="U210" s="10"/>
    </row>
    <row r="211" spans="1:21" x14ac:dyDescent="0.2">
      <c r="A211"/>
      <c r="B211"/>
      <c r="C211"/>
      <c r="D211"/>
      <c r="E211"/>
      <c r="F211"/>
      <c r="G211"/>
      <c r="H211"/>
      <c r="I211"/>
      <c r="J211"/>
      <c r="K211"/>
      <c r="L211"/>
      <c r="M211"/>
      <c r="N211"/>
      <c r="O211"/>
      <c r="P211"/>
      <c r="Q211"/>
      <c r="R211"/>
      <c r="S211"/>
      <c r="T211"/>
      <c r="U211" s="10"/>
    </row>
    <row r="212" spans="1:21" x14ac:dyDescent="0.2">
      <c r="A212"/>
      <c r="B212"/>
      <c r="C212"/>
      <c r="D212"/>
      <c r="E212"/>
      <c r="F212"/>
      <c r="G212"/>
      <c r="H212"/>
      <c r="I212"/>
      <c r="J212"/>
      <c r="K212"/>
      <c r="L212"/>
      <c r="M212"/>
      <c r="N212"/>
      <c r="O212"/>
      <c r="P212"/>
      <c r="Q212"/>
      <c r="R212"/>
      <c r="S212"/>
      <c r="T212"/>
    </row>
  </sheetData>
  <sheetProtection sheet="1" objects="1" scenarios="1"/>
  <phoneticPr fontId="0" type="noConversion"/>
  <printOptions horizontalCentered="1"/>
  <pageMargins left="0.5" right="0.5" top="0.66" bottom="0.5" header="0.5" footer="0.5"/>
  <pageSetup orientation="landscape" horizontalDpi="4294967292" verticalDpi="300" r:id="rId1"/>
  <headerFooter alignWithMargins="0"/>
  <rowBreaks count="3" manualBreakCount="3">
    <brk id="40" max="65535" man="1"/>
    <brk id="80" max="65535" man="1"/>
    <brk id="160" max="6553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B445"/>
  <sheetViews>
    <sheetView showGridLines="0" workbookViewId="0"/>
  </sheetViews>
  <sheetFormatPr defaultRowHeight="12.75" x14ac:dyDescent="0.2"/>
  <cols>
    <col min="1" max="1" width="6.28515625" style="1" customWidth="1"/>
    <col min="2" max="2" width="0.85546875" customWidth="1"/>
    <col min="3" max="6" width="8.28515625" style="1" customWidth="1"/>
    <col min="7" max="7" width="1.85546875" customWidth="1"/>
    <col min="8" max="12" width="8.28515625" customWidth="1"/>
    <col min="13" max="13" width="1.85546875" customWidth="1"/>
    <col min="14" max="18" width="8.28515625" customWidth="1"/>
    <col min="19" max="19" width="1" customWidth="1"/>
    <col min="20" max="20" width="7.140625" style="1" customWidth="1"/>
    <col min="21" max="21" width="8.5703125" customWidth="1"/>
    <col min="24" max="26" width="0" hidden="1" customWidth="1"/>
  </cols>
  <sheetData>
    <row r="1" spans="1:28" ht="15" x14ac:dyDescent="0.2">
      <c r="A1" s="57" t="s">
        <v>120</v>
      </c>
      <c r="B1" s="41"/>
      <c r="C1" s="41"/>
      <c r="D1" s="41"/>
      <c r="E1" s="41"/>
      <c r="F1" s="41"/>
      <c r="G1" s="41"/>
      <c r="H1" s="41"/>
      <c r="I1" s="41"/>
      <c r="J1" s="41"/>
      <c r="K1" s="41"/>
      <c r="L1" s="41"/>
      <c r="M1" s="41"/>
      <c r="N1" s="41"/>
      <c r="O1" s="41"/>
      <c r="P1" s="41"/>
      <c r="Q1" s="41"/>
      <c r="R1" s="41"/>
      <c r="S1" s="41"/>
      <c r="T1" s="41"/>
      <c r="U1" s="4"/>
      <c r="V1" s="4"/>
      <c r="W1" s="4"/>
      <c r="AA1" s="112" t="s">
        <v>184</v>
      </c>
      <c r="AB1" s="111">
        <f>IF('General Data'!A13&gt;=4,'General Data'!A13-4,'General Data'!A13+8)</f>
        <v>0</v>
      </c>
    </row>
    <row r="2" spans="1:28" ht="15" x14ac:dyDescent="0.2">
      <c r="A2" s="57" t="s">
        <v>121</v>
      </c>
      <c r="B2" s="41"/>
      <c r="C2" s="41"/>
      <c r="D2" s="41"/>
      <c r="E2" s="41"/>
      <c r="F2" s="41"/>
      <c r="G2" s="41"/>
      <c r="H2" s="41"/>
      <c r="I2" s="41"/>
      <c r="J2" s="41"/>
      <c r="K2" s="41"/>
      <c r="L2" s="41"/>
      <c r="M2" s="41"/>
      <c r="N2" s="41"/>
      <c r="O2" s="41"/>
      <c r="P2" s="41"/>
      <c r="Q2" s="41"/>
      <c r="R2" s="41"/>
      <c r="S2" s="41"/>
      <c r="T2" s="41"/>
      <c r="U2" s="4"/>
    </row>
    <row r="3" spans="1:28" ht="15.75" x14ac:dyDescent="0.25">
      <c r="A3" s="42" t="str">
        <f>A40</f>
        <v>DOE-PROJECTED FUEL PRICE ESCALATION (2015 Projections)</v>
      </c>
      <c r="B3" s="41"/>
      <c r="C3" s="41"/>
      <c r="D3" s="41"/>
      <c r="E3" s="41"/>
      <c r="F3" s="41"/>
      <c r="G3" s="41"/>
      <c r="H3" s="41"/>
      <c r="I3" s="41"/>
      <c r="J3" s="41"/>
      <c r="K3" s="41"/>
      <c r="L3" s="41"/>
      <c r="M3" s="41"/>
      <c r="N3" s="41"/>
      <c r="O3" s="41"/>
      <c r="P3" s="41"/>
      <c r="Q3" s="41"/>
      <c r="R3" s="41"/>
      <c r="S3" s="41"/>
      <c r="T3" s="42"/>
      <c r="V3" s="331" t="s">
        <v>207</v>
      </c>
    </row>
    <row r="4" spans="1:28" ht="16.5" thickBot="1" x14ac:dyDescent="0.3">
      <c r="A4" s="42" t="str">
        <f>IF('General Data'!$H$21=1,'DOE Fuel Esc Rates'!A41,IF('General Data'!$H$21=2,'DOE Fuel Esc Rates'!A78,IF('General Data'!$H$21=3,'DOE Fuel Esc Rates'!A115,IF('General Data'!$H$21=4,'DOE Fuel Esc Rates'!A152,IF('General Data'!$H$21=5,'DOE Fuel Esc Rates'!A189,"")))))</f>
        <v>Census Region 4</v>
      </c>
      <c r="B4" s="41"/>
      <c r="C4" s="41"/>
      <c r="D4" s="41"/>
      <c r="E4" s="41"/>
      <c r="F4" s="41"/>
      <c r="G4" s="41"/>
      <c r="H4" s="41"/>
      <c r="I4" s="41"/>
      <c r="J4" s="41"/>
      <c r="K4" s="41"/>
      <c r="L4" s="41"/>
      <c r="M4" s="41"/>
      <c r="N4" s="41"/>
      <c r="O4" s="41"/>
      <c r="P4" s="41"/>
      <c r="Q4" s="41"/>
      <c r="R4" s="41"/>
      <c r="S4" s="41"/>
      <c r="T4" s="42"/>
      <c r="V4" s="332" t="s">
        <v>206</v>
      </c>
      <c r="W4" s="330"/>
    </row>
    <row r="5" spans="1:28" ht="15.75" x14ac:dyDescent="0.25">
      <c r="A5" s="42" t="str">
        <f>IF('General Data'!$H$21=1,'DOE Fuel Esc Rates'!A42,IF('General Data'!$H$21=2,'DOE Fuel Esc Rates'!A79,IF('General Data'!$H$21=3,'DOE Fuel Esc Rates'!A116,IF('General Data'!$H$21=4,'DOE Fuel Esc Rates'!A153,IF('General Data'!$H$21=5,'DOE Fuel Esc Rates'!A190,"")))))</f>
        <v>(Alaska, ARIZONA, California, Colorado, Hawaii, Idaho, Montana, Nevada, New Mexico, OR, Utah, WA, Wyoming)</v>
      </c>
      <c r="B5" s="41"/>
      <c r="C5" s="41"/>
      <c r="D5" s="41"/>
      <c r="E5" s="41"/>
      <c r="F5" s="41"/>
      <c r="G5" s="41"/>
      <c r="H5" s="41"/>
      <c r="I5" s="41"/>
      <c r="J5" s="41"/>
      <c r="K5" s="41"/>
      <c r="L5" s="41"/>
      <c r="M5" s="41"/>
      <c r="N5" s="41"/>
      <c r="O5" s="41"/>
      <c r="P5" s="41"/>
      <c r="Q5" s="41"/>
      <c r="R5" s="41"/>
      <c r="S5" s="41"/>
      <c r="T5" s="45" t="s">
        <v>192</v>
      </c>
      <c r="U5" s="111" t="s">
        <v>41</v>
      </c>
      <c r="V5" s="320" t="s">
        <v>185</v>
      </c>
      <c r="W5" s="321" t="str">
        <f>IF('General Data'!$H$27=1,"Nat Gas",IF('General Data'!$H$27=2,"LPG",IF('General Data'!$H$27=3,"Dist Oil",IF('General Data'!$H$27=4,"Resid Oil",IF('General Data'!$H$27=5,"Coal",IF('General Data'!$H$27=0,"","error?"))))))</f>
        <v>Nat Gas</v>
      </c>
    </row>
    <row r="6" spans="1:28" ht="7.5" hidden="1" customHeight="1" x14ac:dyDescent="0.25">
      <c r="A6" s="43"/>
      <c r="B6" s="44"/>
      <c r="C6" s="44"/>
      <c r="D6" s="45"/>
      <c r="E6" s="45"/>
      <c r="F6" s="45"/>
      <c r="G6" s="44"/>
      <c r="H6" s="44"/>
      <c r="I6" s="44"/>
      <c r="J6" s="44"/>
      <c r="K6" s="44"/>
      <c r="L6" s="44"/>
      <c r="M6" s="44"/>
      <c r="N6" s="44"/>
      <c r="O6" s="44"/>
      <c r="P6" s="44"/>
      <c r="Q6" s="44"/>
      <c r="R6" s="44"/>
      <c r="S6" s="44"/>
      <c r="T6" s="45" t="s">
        <v>187</v>
      </c>
      <c r="V6" s="322"/>
      <c r="W6" s="323"/>
    </row>
    <row r="7" spans="1:28" x14ac:dyDescent="0.2">
      <c r="A7" s="45" t="s">
        <v>191</v>
      </c>
      <c r="B7" s="44"/>
      <c r="C7" s="46" t="s">
        <v>111</v>
      </c>
      <c r="D7" s="46"/>
      <c r="E7" s="46"/>
      <c r="F7" s="46"/>
      <c r="G7" s="44"/>
      <c r="H7" s="46" t="s">
        <v>112</v>
      </c>
      <c r="I7" s="46"/>
      <c r="J7" s="46"/>
      <c r="K7" s="46"/>
      <c r="L7" s="41"/>
      <c r="M7" s="44"/>
      <c r="N7" s="46" t="s">
        <v>113</v>
      </c>
      <c r="O7" s="46"/>
      <c r="P7" s="46"/>
      <c r="Q7" s="46"/>
      <c r="R7" s="41"/>
      <c r="S7" s="44"/>
      <c r="U7" s="71" t="s">
        <v>186</v>
      </c>
      <c r="V7" s="324" t="str">
        <f>IF('General Data'!$H$24=1,"Resid",IF('General Data'!$H$24=2,"Com",IF('General Data'!$H$24=3,"Ind","ERROR?")))</f>
        <v>Com</v>
      </c>
      <c r="W7" s="325" t="str">
        <f>V7</f>
        <v>Com</v>
      </c>
      <c r="X7" s="71" t="s">
        <v>127</v>
      </c>
      <c r="Y7" s="71" t="s">
        <v>143</v>
      </c>
      <c r="Z7" s="71" t="s">
        <v>144</v>
      </c>
    </row>
    <row r="8" spans="1:28" x14ac:dyDescent="0.2">
      <c r="A8" s="45" t="str">
        <f>IF('General Data'!$H$21=1,'DOE Fuel Esc Rates'!A45,IF('General Data'!$H$21=2,'DOE Fuel Esc Rates'!A82,IF('General Data'!$H$21=3,'DOE Fuel Esc Rates'!A119,IF('General Data'!$H$21=4,'DOE Fuel Esc Rates'!A156,IF('General Data'!$H$21=5,'DOE Fuel Esc Rates'!A193,"")))))</f>
        <v>Year</v>
      </c>
      <c r="B8" s="44"/>
      <c r="C8" s="45" t="str">
        <f>IF('General Data'!$H$21=1,'DOE Fuel Esc Rates'!C45,IF('General Data'!$H$21=2,'DOE Fuel Esc Rates'!C82,IF('General Data'!$H$21=3,'DOE Fuel Esc Rates'!C119,IF('General Data'!$H$21=4,'DOE Fuel Esc Rates'!C156,IF('General Data'!$H$21=5,'DOE Fuel Esc Rates'!C193,"")))))</f>
        <v>Electric</v>
      </c>
      <c r="D8" s="45" t="str">
        <f>IF('General Data'!$H$21=1,'DOE Fuel Esc Rates'!D45,IF('General Data'!$H$21=2,'DOE Fuel Esc Rates'!D82,IF('General Data'!$H$21=3,'DOE Fuel Esc Rates'!D119,IF('General Data'!$H$21=4,'DOE Fuel Esc Rates'!D156,IF('General Data'!$H$21=5,'DOE Fuel Esc Rates'!D193,"")))))</f>
        <v>Dist</v>
      </c>
      <c r="E8" s="45" t="str">
        <f>IF('General Data'!$H$21=1,'DOE Fuel Esc Rates'!E45,IF('General Data'!$H$21=2,'DOE Fuel Esc Rates'!E82,IF('General Data'!$H$21=3,'DOE Fuel Esc Rates'!E119,IF('General Data'!$H$21=4,'DOE Fuel Esc Rates'!E156,IF('General Data'!$H$21=5,'DOE Fuel Esc Rates'!E193,"")))))</f>
        <v>Nat Gas</v>
      </c>
      <c r="F8" s="45" t="str">
        <f>IF('General Data'!$H$21=1,'DOE Fuel Esc Rates'!F45,IF('General Data'!$H$21=2,'DOE Fuel Esc Rates'!F82,IF('General Data'!$H$21=3,'DOE Fuel Esc Rates'!F119,IF('General Data'!$H$21=4,'DOE Fuel Esc Rates'!F156,IF('General Data'!$H$21=5,'DOE Fuel Esc Rates'!F193,"")))))</f>
        <v>LPG</v>
      </c>
      <c r="G8" s="44"/>
      <c r="H8" s="45" t="str">
        <f>IF('General Data'!$H$21=1,'DOE Fuel Esc Rates'!H45,IF('General Data'!$H$21=2,'DOE Fuel Esc Rates'!H82,IF('General Data'!$H$21=3,'DOE Fuel Esc Rates'!H119,IF('General Data'!$H$21=4,'DOE Fuel Esc Rates'!H156,IF('General Data'!$H$21=5,'DOE Fuel Esc Rates'!H193,"")))))</f>
        <v>Electric</v>
      </c>
      <c r="I8" s="45" t="str">
        <f>IF('General Data'!$H$21=1,'DOE Fuel Esc Rates'!I45,IF('General Data'!$H$21=2,'DOE Fuel Esc Rates'!I82,IF('General Data'!$H$21=3,'DOE Fuel Esc Rates'!I119,IF('General Data'!$H$21=4,'DOE Fuel Esc Rates'!I156,IF('General Data'!$H$21=5,'DOE Fuel Esc Rates'!I193,"")))))</f>
        <v>Dist</v>
      </c>
      <c r="J8" s="45" t="str">
        <f>IF('General Data'!$H$21=1,'DOE Fuel Esc Rates'!J45,IF('General Data'!$H$21=2,'DOE Fuel Esc Rates'!J82,IF('General Data'!$H$21=3,'DOE Fuel Esc Rates'!J119,IF('General Data'!$H$21=4,'DOE Fuel Esc Rates'!J156,IF('General Data'!$H$21=5,'DOE Fuel Esc Rates'!J193,"")))))</f>
        <v>Resid</v>
      </c>
      <c r="K8" s="45" t="str">
        <f>IF('General Data'!$H$21=1,'DOE Fuel Esc Rates'!K45,IF('General Data'!$H$21=2,'DOE Fuel Esc Rates'!K82,IF('General Data'!$H$21=3,'DOE Fuel Esc Rates'!K119,IF('General Data'!$H$21=4,'DOE Fuel Esc Rates'!K156,IF('General Data'!$H$21=5,'DOE Fuel Esc Rates'!K193,"")))))</f>
        <v>Nat Gas</v>
      </c>
      <c r="L8" s="45" t="str">
        <f>IF('General Data'!$H$21=1,'DOE Fuel Esc Rates'!L45,IF('General Data'!$H$21=2,'DOE Fuel Esc Rates'!L82,IF('General Data'!$H$21=3,'DOE Fuel Esc Rates'!L119,IF('General Data'!$H$21=4,'DOE Fuel Esc Rates'!L156,IF('General Data'!$H$21=5,'DOE Fuel Esc Rates'!L193,"")))))</f>
        <v>Coal</v>
      </c>
      <c r="M8" s="44"/>
      <c r="N8" s="45" t="str">
        <f>IF('General Data'!$H$21=1,'DOE Fuel Esc Rates'!N45,IF('General Data'!$H$21=2,'DOE Fuel Esc Rates'!N82,IF('General Data'!$H$21=3,'DOE Fuel Esc Rates'!N119,IF('General Data'!$H$21=4,'DOE Fuel Esc Rates'!N156,IF('General Data'!$H$21=5,'DOE Fuel Esc Rates'!N193,"")))))</f>
        <v>Electric</v>
      </c>
      <c r="O8" s="45" t="str">
        <f>IF('General Data'!$H$21=1,'DOE Fuel Esc Rates'!O45,IF('General Data'!$H$21=2,'DOE Fuel Esc Rates'!O82,IF('General Data'!$H$21=3,'DOE Fuel Esc Rates'!O119,IF('General Data'!$H$21=4,'DOE Fuel Esc Rates'!O156,IF('General Data'!$H$21=5,'DOE Fuel Esc Rates'!O193,"")))))</f>
        <v>Dist</v>
      </c>
      <c r="P8" s="45" t="str">
        <f>IF('General Data'!$H$21=1,'DOE Fuel Esc Rates'!P45,IF('General Data'!$H$21=2,'DOE Fuel Esc Rates'!P82,IF('General Data'!$H$21=3,'DOE Fuel Esc Rates'!P119,IF('General Data'!$H$21=4,'DOE Fuel Esc Rates'!P156,IF('General Data'!$H$21=5,'DOE Fuel Esc Rates'!P193,"")))))</f>
        <v>Resid</v>
      </c>
      <c r="Q8" s="45" t="str">
        <f>IF('General Data'!$H$21=1,'DOE Fuel Esc Rates'!Q45,IF('General Data'!$H$21=2,'DOE Fuel Esc Rates'!Q82,IF('General Data'!$H$21=3,'DOE Fuel Esc Rates'!Q119,IF('General Data'!$H$21=4,'DOE Fuel Esc Rates'!Q156,IF('General Data'!$H$21=5,'DOE Fuel Esc Rates'!Q193,"")))))</f>
        <v>Nat Gas</v>
      </c>
      <c r="R8" s="45" t="str">
        <f>IF('General Data'!$H$21=1,'DOE Fuel Esc Rates'!R45,IF('General Data'!$H$21=2,'DOE Fuel Esc Rates'!R82,IF('General Data'!$H$21=3,'DOE Fuel Esc Rates'!R119,IF('General Data'!$H$21=4,'DOE Fuel Esc Rates'!R156,IF('General Data'!$H$21=5,'DOE Fuel Esc Rates'!R193,"")))))</f>
        <v>Coal</v>
      </c>
      <c r="S8" s="44"/>
      <c r="T8" s="109">
        <v>0</v>
      </c>
      <c r="V8" s="322"/>
      <c r="W8" s="323"/>
      <c r="X8" s="1"/>
      <c r="Y8" s="1"/>
      <c r="Z8" s="1"/>
      <c r="AA8" s="113"/>
      <c r="AB8" s="113"/>
    </row>
    <row r="9" spans="1:28" x14ac:dyDescent="0.2">
      <c r="A9" s="109">
        <f>'General Data'!H10-'General Data'!H13+1</f>
        <v>1</v>
      </c>
      <c r="B9" s="44"/>
      <c r="C9" s="47">
        <f>(1-($AB$1/12))*C416 + ($AB$1/12)*C417</f>
        <v>3.3475177304964632E-2</v>
      </c>
      <c r="D9" s="47">
        <f t="shared" ref="C9:F38" si="0">(1-($AB$1/12))*D416 + ($AB$1/12)*D417</f>
        <v>-1.591895803183796E-2</v>
      </c>
      <c r="E9" s="47">
        <f t="shared" si="0"/>
        <v>-2.9053420805998154E-2</v>
      </c>
      <c r="F9" s="47">
        <f t="shared" si="0"/>
        <v>1.0281627179257846E-2</v>
      </c>
      <c r="G9" s="44"/>
      <c r="H9" s="47">
        <f t="shared" ref="H9:L18" si="1">(1-($AB$1/12))*H416 + ($AB$1/12)*H417</f>
        <v>2.7786548784338283E-2</v>
      </c>
      <c r="I9" s="47">
        <f t="shared" si="1"/>
        <v>-1.6765285996055201E-2</v>
      </c>
      <c r="J9" s="47">
        <f t="shared" si="1"/>
        <v>8.1716036772216949E-3</v>
      </c>
      <c r="K9" s="47">
        <f t="shared" si="1"/>
        <v>1.2387387387387427E-2</v>
      </c>
      <c r="L9" s="47">
        <f t="shared" si="1"/>
        <v>2.244389027431426E-2</v>
      </c>
      <c r="M9" s="44"/>
      <c r="N9" s="47">
        <f t="shared" ref="N9:R18" si="2">(1-($AB$1/12))*N416 + ($AB$1/12)*N417</f>
        <v>1.9665683382497523E-2</v>
      </c>
      <c r="O9" s="47">
        <f t="shared" si="2"/>
        <v>-1.6216216216216273E-2</v>
      </c>
      <c r="P9" s="47">
        <f t="shared" si="2"/>
        <v>9.2592592592593004E-3</v>
      </c>
      <c r="Q9" s="47">
        <f t="shared" si="2"/>
        <v>-1.1605415860734936E-2</v>
      </c>
      <c r="R9" s="47">
        <f t="shared" si="2"/>
        <v>2.7874564459930307E-2</v>
      </c>
      <c r="S9" s="44"/>
      <c r="T9" s="109">
        <v>1</v>
      </c>
      <c r="U9" s="110">
        <f>'General Data'!H10</f>
        <v>2015</v>
      </c>
      <c r="V9" s="326">
        <f>IF('General Data'!$H$24=1,'DOE Fuel Esc Rates'!C9,IF('General Data'!$H$24=2,'DOE Fuel Esc Rates'!H9,IF('General Data'!$H$24=3,'DOE Fuel Esc Rates'!N9,"")))</f>
        <v>2.7786548784338283E-2</v>
      </c>
      <c r="W9" s="327">
        <f>SUM(X9:Z9)</f>
        <v>1.2387387387387427E-2</v>
      </c>
      <c r="X9" s="70" t="str">
        <f>IF('General Data'!$H$24=1,IF('General Data'!$H$27=0,0,IF('General Data'!$H$27=1,E9,IF('General Data'!$H$27=2,F9,IF('General Data'!$H$27=3,D9,"error?")))),"")</f>
        <v/>
      </c>
      <c r="Y9" s="70">
        <f>IF('General Data'!$H$24=2,IF('General Data'!$H$27=0,0,IF('General Data'!$H$27=1,K9,IF('General Data'!$H$27=2,"error",IF('General Data'!$H$27=3,I9,IF('General Data'!$H$27=4,J9,IF('General Data'!$H$27=5,L9,"error?")))))),"")</f>
        <v>1.2387387387387427E-2</v>
      </c>
      <c r="Z9" s="70" t="str">
        <f>IF('General Data'!$H$24=3,IF('General Data'!$H$27=0,0,IF('General Data'!$H$27=1,Q9,IF('General Data'!$H$27=2,"error",IF('General Data'!$H$27=3,O9,IF('General Data'!$H$27=4,P9,IF('General Data'!$H$27=5,R9,"error?")))))),"")</f>
        <v/>
      </c>
      <c r="AA9" s="113">
        <f>1+V9</f>
        <v>1.0277865487843383</v>
      </c>
      <c r="AB9" s="113">
        <f>1+W9</f>
        <v>1.0123873873873874</v>
      </c>
    </row>
    <row r="10" spans="1:28" x14ac:dyDescent="0.2">
      <c r="A10" s="109">
        <f>A9+1</f>
        <v>2</v>
      </c>
      <c r="B10" s="44"/>
      <c r="C10" s="47">
        <f t="shared" si="0"/>
        <v>1.7567938512215164E-2</v>
      </c>
      <c r="D10" s="47">
        <f t="shared" si="0"/>
        <v>2.0098039215686203E-2</v>
      </c>
      <c r="E10" s="47">
        <f t="shared" si="0"/>
        <v>-9.6525096525090781E-4</v>
      </c>
      <c r="F10" s="47">
        <f t="shared" si="0"/>
        <v>2.7876106194690164E-2</v>
      </c>
      <c r="G10" s="44"/>
      <c r="H10" s="47">
        <f t="shared" si="1"/>
        <v>1.3824884792626779E-2</v>
      </c>
      <c r="I10" s="47">
        <f t="shared" si="1"/>
        <v>4.2627883650952825E-2</v>
      </c>
      <c r="J10" s="47">
        <f t="shared" si="1"/>
        <v>9.6251266464032481E-2</v>
      </c>
      <c r="K10" s="47">
        <f t="shared" si="1"/>
        <v>1.1123470522802492E-3</v>
      </c>
      <c r="L10" s="47">
        <f t="shared" si="1"/>
        <v>1.7073170731707332E-2</v>
      </c>
      <c r="M10" s="44"/>
      <c r="N10" s="47">
        <f t="shared" si="2"/>
        <v>3.3751205400192053E-3</v>
      </c>
      <c r="O10" s="47">
        <f t="shared" si="2"/>
        <v>1.1488511488511488E-2</v>
      </c>
      <c r="P10" s="47">
        <f t="shared" si="2"/>
        <v>9.6839959225280214E-2</v>
      </c>
      <c r="Q10" s="47">
        <f t="shared" si="2"/>
        <v>5.2837573385518422E-2</v>
      </c>
      <c r="R10" s="47">
        <f t="shared" si="2"/>
        <v>6.7796610169492677E-3</v>
      </c>
      <c r="S10" s="44"/>
      <c r="T10" s="109">
        <f>T9+1</f>
        <v>2</v>
      </c>
      <c r="U10" s="110">
        <f>U9+1</f>
        <v>2016</v>
      </c>
      <c r="V10" s="326">
        <f>IF('General Data'!$H$24=1,'DOE Fuel Esc Rates'!C10,IF('General Data'!$H$24=2,'DOE Fuel Esc Rates'!H10,IF('General Data'!$H$24=3,'DOE Fuel Esc Rates'!N10,"")))</f>
        <v>1.3824884792626779E-2</v>
      </c>
      <c r="W10" s="327">
        <f t="shared" ref="W10:W38" si="3">SUM(X10:Z10)</f>
        <v>1.1123470522802492E-3</v>
      </c>
      <c r="X10" s="70" t="str">
        <f>IF('General Data'!$H$24=1,IF('General Data'!$H$27=0,0,IF('General Data'!$H$27=1,E10,IF('General Data'!$H$27=2,F10,IF('General Data'!$H$27=3,D10,"error?")))),"")</f>
        <v/>
      </c>
      <c r="Y10" s="70">
        <f>IF('General Data'!$H$24=2,IF('General Data'!$H$27=0,0,IF('General Data'!$H$27=1,K10,IF('General Data'!$H$27=2,"error",IF('General Data'!$H$27=3,I10,IF('General Data'!$H$27=4,J10,IF('General Data'!$H$27=5,L10,"error?")))))),"")</f>
        <v>1.1123470522802492E-3</v>
      </c>
      <c r="Z10" s="70" t="str">
        <f>IF('General Data'!$H$24=3,IF('General Data'!$H$27=0,0,IF('General Data'!$H$27=1,Q10,IF('General Data'!$H$27=2,"error",IF('General Data'!$H$27=3,O10,IF('General Data'!$H$27=4,P10,IF('General Data'!$H$27=5,R10,"error?")))))),"")</f>
        <v/>
      </c>
      <c r="AA10" s="113">
        <f>AA9*(1+V10)</f>
        <v>1.0419955794126932</v>
      </c>
      <c r="AB10" s="113">
        <f>AB9*(1+W10)</f>
        <v>1.0135135135135136</v>
      </c>
    </row>
    <row r="11" spans="1:28" x14ac:dyDescent="0.2">
      <c r="A11" s="109">
        <f t="shared" ref="A11:A38" si="4">A10+1</f>
        <v>3</v>
      </c>
      <c r="B11" s="44"/>
      <c r="C11" s="47">
        <f t="shared" si="0"/>
        <v>-7.0137577555974273E-3</v>
      </c>
      <c r="D11" s="47">
        <f t="shared" si="0"/>
        <v>4.8053820278726178E-4</v>
      </c>
      <c r="E11" s="47">
        <f t="shared" si="0"/>
        <v>1.2560386473430052E-2</v>
      </c>
      <c r="F11" s="47">
        <f t="shared" si="0"/>
        <v>9.9009900990099098E-3</v>
      </c>
      <c r="G11" s="44"/>
      <c r="H11" s="47">
        <f t="shared" si="1"/>
        <v>-1.0606060606060619E-2</v>
      </c>
      <c r="I11" s="47">
        <f t="shared" si="1"/>
        <v>8.6580086580085869E-3</v>
      </c>
      <c r="J11" s="47">
        <f t="shared" si="1"/>
        <v>1.8484288354898348E-2</v>
      </c>
      <c r="K11" s="47">
        <f t="shared" si="1"/>
        <v>-1.1111111111110628E-3</v>
      </c>
      <c r="L11" s="47">
        <f t="shared" si="1"/>
        <v>7.194244604316502E-3</v>
      </c>
      <c r="M11" s="44"/>
      <c r="N11" s="47">
        <f t="shared" si="2"/>
        <v>-1.2493993272465032E-2</v>
      </c>
      <c r="O11" s="47">
        <f t="shared" si="2"/>
        <v>0</v>
      </c>
      <c r="P11" s="47">
        <f t="shared" si="2"/>
        <v>1.858736059479571E-2</v>
      </c>
      <c r="Q11" s="47">
        <f t="shared" si="2"/>
        <v>5.9479553903345694E-2</v>
      </c>
      <c r="R11" s="47">
        <f t="shared" si="2"/>
        <v>-3.3670033670034627E-3</v>
      </c>
      <c r="S11" s="44"/>
      <c r="T11" s="109">
        <f t="shared" ref="T11:T38" si="5">T10+1</f>
        <v>3</v>
      </c>
      <c r="U11" s="110">
        <f t="shared" ref="U11:U38" si="6">U10+1</f>
        <v>2017</v>
      </c>
      <c r="V11" s="326">
        <f>IF('General Data'!$H$24=1,'DOE Fuel Esc Rates'!C11,IF('General Data'!$H$24=2,'DOE Fuel Esc Rates'!H11,IF('General Data'!$H$24=3,'DOE Fuel Esc Rates'!N11,"")))</f>
        <v>-1.0606060606060619E-2</v>
      </c>
      <c r="W11" s="327">
        <f t="shared" si="3"/>
        <v>-1.1111111111110628E-3</v>
      </c>
      <c r="X11" s="70" t="str">
        <f>IF('General Data'!$H$24=1,IF('General Data'!$H$27=0,0,IF('General Data'!$H$27=1,E11,IF('General Data'!$H$27=2,F11,IF('General Data'!$H$27=3,D11,"error?")))),"")</f>
        <v/>
      </c>
      <c r="Y11" s="70">
        <f>IF('General Data'!$H$24=2,IF('General Data'!$H$27=0,0,IF('General Data'!$H$27=1,K11,IF('General Data'!$H$27=2,"error",IF('General Data'!$H$27=3,I11,IF('General Data'!$H$27=4,J11,IF('General Data'!$H$27=5,L11,"error?")))))),"")</f>
        <v>-1.1111111111110628E-3</v>
      </c>
      <c r="Z11" s="70" t="str">
        <f>IF('General Data'!$H$24=3,IF('General Data'!$H$27=0,0,IF('General Data'!$H$27=1,Q11,IF('General Data'!$H$27=2,"error",IF('General Data'!$H$27=3,O11,IF('General Data'!$H$27=4,P11,IF('General Data'!$H$27=5,R11,"error?")))))),"")</f>
        <v/>
      </c>
      <c r="AA11" s="113">
        <f t="shared" ref="AA11:AA38" si="7">AA10*(1+V11)</f>
        <v>1.030944111146195</v>
      </c>
      <c r="AB11" s="113">
        <f t="shared" ref="AB11:AB38" si="8">AB10*(1+W11)</f>
        <v>1.0123873873873874</v>
      </c>
    </row>
    <row r="12" spans="1:28" x14ac:dyDescent="0.2">
      <c r="A12" s="109">
        <f t="shared" si="4"/>
        <v>4</v>
      </c>
      <c r="B12" s="44"/>
      <c r="C12" s="47">
        <f t="shared" si="0"/>
        <v>-4.3466449334420565E-3</v>
      </c>
      <c r="D12" s="47">
        <f t="shared" si="0"/>
        <v>1.1527377521613813E-2</v>
      </c>
      <c r="E12" s="47">
        <f t="shared" si="0"/>
        <v>3.6259541984732691E-2</v>
      </c>
      <c r="F12" s="47">
        <f t="shared" si="0"/>
        <v>7.6726342710997653E-3</v>
      </c>
      <c r="G12" s="44"/>
      <c r="H12" s="47">
        <f t="shared" si="1"/>
        <v>-7.9632465543644226E-3</v>
      </c>
      <c r="I12" s="47">
        <f t="shared" si="1"/>
        <v>1.2398664759179834E-2</v>
      </c>
      <c r="J12" s="47">
        <f t="shared" si="1"/>
        <v>1.8148820326678861E-2</v>
      </c>
      <c r="K12" s="47">
        <f t="shared" si="1"/>
        <v>3.6707452725250223E-2</v>
      </c>
      <c r="L12" s="47">
        <f t="shared" si="1"/>
        <v>7.1428571428571175E-3</v>
      </c>
      <c r="M12" s="44"/>
      <c r="N12" s="47">
        <f t="shared" si="2"/>
        <v>-3.4063260340633228E-3</v>
      </c>
      <c r="O12" s="47">
        <f t="shared" si="2"/>
        <v>1.2345679012345734E-2</v>
      </c>
      <c r="P12" s="47">
        <f t="shared" si="2"/>
        <v>1.8248175182481674E-2</v>
      </c>
      <c r="Q12" s="47">
        <f t="shared" si="2"/>
        <v>6.315789473684208E-2</v>
      </c>
      <c r="R12" s="47">
        <f t="shared" si="2"/>
        <v>3.3783783783785104E-3</v>
      </c>
      <c r="S12" s="44"/>
      <c r="T12" s="109">
        <f t="shared" si="5"/>
        <v>4</v>
      </c>
      <c r="U12" s="110">
        <f t="shared" si="6"/>
        <v>2018</v>
      </c>
      <c r="V12" s="326">
        <f>IF('General Data'!$H$24=1,'DOE Fuel Esc Rates'!C12,IF('General Data'!$H$24=2,'DOE Fuel Esc Rates'!H12,IF('General Data'!$H$24=3,'DOE Fuel Esc Rates'!N12,"")))</f>
        <v>-7.9632465543644226E-3</v>
      </c>
      <c r="W12" s="327">
        <f t="shared" si="3"/>
        <v>3.6707452725250223E-2</v>
      </c>
      <c r="X12" s="70" t="str">
        <f>IF('General Data'!$H$24=1,IF('General Data'!$H$27=0,0,IF('General Data'!$H$27=1,E12,IF('General Data'!$H$27=2,F12,IF('General Data'!$H$27=3,D12,"error?")))),"")</f>
        <v/>
      </c>
      <c r="Y12" s="70">
        <f>IF('General Data'!$H$24=2,IF('General Data'!$H$27=0,0,IF('General Data'!$H$27=1,K12,IF('General Data'!$H$27=2,"error",IF('General Data'!$H$27=3,I12,IF('General Data'!$H$27=4,J12,IF('General Data'!$H$27=5,L12,"error?")))))),"")</f>
        <v>3.6707452725250223E-2</v>
      </c>
      <c r="Z12" s="70" t="str">
        <f>IF('General Data'!$H$24=3,IF('General Data'!$H$27=0,0,IF('General Data'!$H$27=1,Q12,IF('General Data'!$H$27=2,"error",IF('General Data'!$H$27=3,O12,IF('General Data'!$H$27=4,P12,IF('General Data'!$H$27=5,R12,"error?")))))),"")</f>
        <v/>
      </c>
      <c r="AA12" s="113">
        <f t="shared" si="7"/>
        <v>1.0227344490053678</v>
      </c>
      <c r="AB12" s="113">
        <f t="shared" si="8"/>
        <v>1.0495495495495495</v>
      </c>
    </row>
    <row r="13" spans="1:28" x14ac:dyDescent="0.2">
      <c r="A13" s="109">
        <f t="shared" si="4"/>
        <v>5</v>
      </c>
      <c r="B13" s="44"/>
      <c r="C13" s="47">
        <f t="shared" si="0"/>
        <v>5.7298772169167567E-3</v>
      </c>
      <c r="D13" s="47">
        <f t="shared" si="0"/>
        <v>1.4245014245014342E-2</v>
      </c>
      <c r="E13" s="47">
        <f t="shared" si="0"/>
        <v>4.3278084714548859E-2</v>
      </c>
      <c r="F13" s="47">
        <f t="shared" si="0"/>
        <v>4.6531302876480218E-3</v>
      </c>
      <c r="G13" s="44"/>
      <c r="H13" s="47">
        <f t="shared" si="1"/>
        <v>6.1747452917559897E-4</v>
      </c>
      <c r="I13" s="47">
        <f t="shared" si="1"/>
        <v>1.4601978332548171E-2</v>
      </c>
      <c r="J13" s="47">
        <f t="shared" si="1"/>
        <v>2.3172905525846721E-2</v>
      </c>
      <c r="K13" s="47">
        <f t="shared" si="1"/>
        <v>4.7210300429184393E-2</v>
      </c>
      <c r="L13" s="47">
        <f t="shared" si="1"/>
        <v>7.0921985815601829E-3</v>
      </c>
      <c r="M13" s="44"/>
      <c r="N13" s="47">
        <f t="shared" si="2"/>
        <v>3.90625E-3</v>
      </c>
      <c r="O13" s="47">
        <f t="shared" si="2"/>
        <v>1.609756097560977E-2</v>
      </c>
      <c r="P13" s="47">
        <f t="shared" si="2"/>
        <v>2.3297491039426577E-2</v>
      </c>
      <c r="Q13" s="47">
        <f t="shared" si="2"/>
        <v>5.9405940594059459E-2</v>
      </c>
      <c r="R13" s="47">
        <f t="shared" si="2"/>
        <v>1.0101010101009944E-2</v>
      </c>
      <c r="S13" s="44"/>
      <c r="T13" s="109">
        <f t="shared" si="5"/>
        <v>5</v>
      </c>
      <c r="U13" s="110">
        <f t="shared" si="6"/>
        <v>2019</v>
      </c>
      <c r="V13" s="326">
        <f>IF('General Data'!$H$24=1,'DOE Fuel Esc Rates'!C13,IF('General Data'!$H$24=2,'DOE Fuel Esc Rates'!H13,IF('General Data'!$H$24=3,'DOE Fuel Esc Rates'!N13,"")))</f>
        <v>6.1747452917559897E-4</v>
      </c>
      <c r="W13" s="327">
        <f t="shared" si="3"/>
        <v>4.7210300429184393E-2</v>
      </c>
      <c r="X13" s="70" t="str">
        <f>IF('General Data'!$H$24=1,IF('General Data'!$H$27=0,0,IF('General Data'!$H$27=1,E13,IF('General Data'!$H$27=2,F13,IF('General Data'!$H$27=3,D13,"error?")))),"")</f>
        <v/>
      </c>
      <c r="Y13" s="70">
        <f>IF('General Data'!$H$24=2,IF('General Data'!$H$27=0,0,IF('General Data'!$H$27=1,K13,IF('General Data'!$H$27=2,"error",IF('General Data'!$H$27=3,I13,IF('General Data'!$H$27=4,J13,IF('General Data'!$H$27=5,L13,"error?")))))),"")</f>
        <v>4.7210300429184393E-2</v>
      </c>
      <c r="Z13" s="70" t="str">
        <f>IF('General Data'!$H$24=3,IF('General Data'!$H$27=0,0,IF('General Data'!$H$27=1,Q13,IF('General Data'!$H$27=2,"error",IF('General Data'!$H$27=3,O13,IF('General Data'!$H$27=4,P13,IF('General Data'!$H$27=5,R13,"error?")))))),"")</f>
        <v/>
      </c>
      <c r="AA13" s="113">
        <f t="shared" si="7"/>
        <v>1.0233659614777391</v>
      </c>
      <c r="AB13" s="113">
        <f t="shared" si="8"/>
        <v>1.099099099099099</v>
      </c>
    </row>
    <row r="14" spans="1:28" x14ac:dyDescent="0.2">
      <c r="A14" s="109">
        <f t="shared" si="4"/>
        <v>6</v>
      </c>
      <c r="B14" s="44"/>
      <c r="C14" s="47">
        <f t="shared" si="0"/>
        <v>7.867607162235446E-3</v>
      </c>
      <c r="D14" s="47">
        <f t="shared" si="0"/>
        <v>1.6853932584269593E-2</v>
      </c>
      <c r="E14" s="47">
        <f t="shared" si="0"/>
        <v>3.2656663724624835E-2</v>
      </c>
      <c r="F14" s="47">
        <f t="shared" si="0"/>
        <v>4.2105263157894424E-3</v>
      </c>
      <c r="G14" s="44"/>
      <c r="H14" s="47">
        <f t="shared" si="1"/>
        <v>3.7025609379821578E-3</v>
      </c>
      <c r="I14" s="47">
        <f t="shared" si="1"/>
        <v>1.7641597028783762E-2</v>
      </c>
      <c r="J14" s="47">
        <f t="shared" si="1"/>
        <v>2.7874564459930307E-2</v>
      </c>
      <c r="K14" s="47">
        <f t="shared" si="1"/>
        <v>3.5860655737704805E-2</v>
      </c>
      <c r="L14" s="47">
        <f t="shared" si="1"/>
        <v>9.3896713615022609E-3</v>
      </c>
      <c r="M14" s="44"/>
      <c r="N14" s="47">
        <f t="shared" si="2"/>
        <v>7.2957198443581728E-3</v>
      </c>
      <c r="O14" s="47">
        <f t="shared" si="2"/>
        <v>1.8242918867018787E-2</v>
      </c>
      <c r="P14" s="47">
        <f t="shared" si="2"/>
        <v>2.8021015761821477E-2</v>
      </c>
      <c r="Q14" s="47">
        <f t="shared" si="2"/>
        <v>4.3613707165109039E-2</v>
      </c>
      <c r="R14" s="47">
        <f t="shared" si="2"/>
        <v>1.3333333333333419E-2</v>
      </c>
      <c r="S14" s="44"/>
      <c r="T14" s="109">
        <f t="shared" si="5"/>
        <v>6</v>
      </c>
      <c r="U14" s="110">
        <f t="shared" si="6"/>
        <v>2020</v>
      </c>
      <c r="V14" s="326">
        <f>IF('General Data'!$H$24=1,'DOE Fuel Esc Rates'!C14,IF('General Data'!$H$24=2,'DOE Fuel Esc Rates'!H14,IF('General Data'!$H$24=3,'DOE Fuel Esc Rates'!N14,"")))</f>
        <v>3.7025609379821578E-3</v>
      </c>
      <c r="W14" s="327">
        <f t="shared" si="3"/>
        <v>3.5860655737704805E-2</v>
      </c>
      <c r="X14" s="70" t="str">
        <f>IF('General Data'!$H$24=1,IF('General Data'!$H$27=0,0,IF('General Data'!$H$27=1,E14,IF('General Data'!$H$27=2,F14,IF('General Data'!$H$27=3,D14,"error?")))),"")</f>
        <v/>
      </c>
      <c r="Y14" s="70">
        <f>IF('General Data'!$H$24=2,IF('General Data'!$H$27=0,0,IF('General Data'!$H$27=1,K14,IF('General Data'!$H$27=2,"error",IF('General Data'!$H$27=3,I14,IF('General Data'!$H$27=4,J14,IF('General Data'!$H$27=5,L14,"error?")))))),"")</f>
        <v>3.5860655737704805E-2</v>
      </c>
      <c r="Z14" s="70" t="str">
        <f>IF('General Data'!$H$24=3,IF('General Data'!$H$27=0,0,IF('General Data'!$H$27=1,Q14,IF('General Data'!$H$27=2,"error",IF('General Data'!$H$27=3,O14,IF('General Data'!$H$27=4,P14,IF('General Data'!$H$27=5,R14,"error?")))))),"")</f>
        <v/>
      </c>
      <c r="AA14" s="113">
        <f t="shared" si="7"/>
        <v>1.027155036311967</v>
      </c>
      <c r="AB14" s="113">
        <f t="shared" si="8"/>
        <v>1.1385135135135132</v>
      </c>
    </row>
    <row r="15" spans="1:28" x14ac:dyDescent="0.2">
      <c r="A15" s="109">
        <f t="shared" si="4"/>
        <v>7</v>
      </c>
      <c r="B15" s="44"/>
      <c r="C15" s="47">
        <f t="shared" si="0"/>
        <v>5.3835800807537915E-3</v>
      </c>
      <c r="D15" s="47">
        <f t="shared" si="0"/>
        <v>1.8876611418047862E-2</v>
      </c>
      <c r="E15" s="47">
        <f t="shared" si="0"/>
        <v>1.8803418803418959E-2</v>
      </c>
      <c r="F15" s="47">
        <f t="shared" si="0"/>
        <v>4.6121593291403862E-3</v>
      </c>
      <c r="G15" s="44"/>
      <c r="H15" s="47">
        <f t="shared" si="1"/>
        <v>1.8444512757456177E-3</v>
      </c>
      <c r="I15" s="47">
        <f t="shared" si="1"/>
        <v>2.1441605839416011E-2</v>
      </c>
      <c r="J15" s="47">
        <f t="shared" si="1"/>
        <v>2.8813559322033777E-2</v>
      </c>
      <c r="K15" s="47">
        <f t="shared" si="1"/>
        <v>2.0771513353115889E-2</v>
      </c>
      <c r="L15" s="47">
        <f t="shared" si="1"/>
        <v>9.302325581395321E-3</v>
      </c>
      <c r="M15" s="44"/>
      <c r="N15" s="47">
        <f t="shared" si="2"/>
        <v>4.3457267020763357E-3</v>
      </c>
      <c r="O15" s="47">
        <f t="shared" si="2"/>
        <v>2.4516737388024401E-2</v>
      </c>
      <c r="P15" s="47">
        <f t="shared" si="2"/>
        <v>2.8960817717206044E-2</v>
      </c>
      <c r="Q15" s="47">
        <f t="shared" si="2"/>
        <v>2.5373134328358304E-2</v>
      </c>
      <c r="R15" s="47">
        <f t="shared" si="2"/>
        <v>9.8684210526314153E-3</v>
      </c>
      <c r="S15" s="44"/>
      <c r="T15" s="109">
        <f t="shared" si="5"/>
        <v>7</v>
      </c>
      <c r="U15" s="110">
        <f t="shared" si="6"/>
        <v>2021</v>
      </c>
      <c r="V15" s="326">
        <f>IF('General Data'!$H$24=1,'DOE Fuel Esc Rates'!C15,IF('General Data'!$H$24=2,'DOE Fuel Esc Rates'!H15,IF('General Data'!$H$24=3,'DOE Fuel Esc Rates'!N15,"")))</f>
        <v>1.8444512757456177E-3</v>
      </c>
      <c r="W15" s="327">
        <f t="shared" si="3"/>
        <v>2.0771513353115889E-2</v>
      </c>
      <c r="X15" s="70" t="str">
        <f>IF('General Data'!$H$24=1,IF('General Data'!$H$27=0,0,IF('General Data'!$H$27=1,E15,IF('General Data'!$H$27=2,F15,IF('General Data'!$H$27=3,D15,"error?")))),"")</f>
        <v/>
      </c>
      <c r="Y15" s="70">
        <f>IF('General Data'!$H$24=2,IF('General Data'!$H$27=0,0,IF('General Data'!$H$27=1,K15,IF('General Data'!$H$27=2,"error",IF('General Data'!$H$27=3,I15,IF('General Data'!$H$27=4,J15,IF('General Data'!$H$27=5,L15,"error?")))))),"")</f>
        <v>2.0771513353115889E-2</v>
      </c>
      <c r="Z15" s="70" t="str">
        <f>IF('General Data'!$H$24=3,IF('General Data'!$H$27=0,0,IF('General Data'!$H$27=1,Q15,IF('General Data'!$H$27=2,"error",IF('General Data'!$H$27=3,O15,IF('General Data'!$H$27=4,P15,IF('General Data'!$H$27=5,R15,"error?")))))),"")</f>
        <v/>
      </c>
      <c r="AA15" s="113">
        <f t="shared" si="7"/>
        <v>1.0290495737290812</v>
      </c>
      <c r="AB15" s="113">
        <f t="shared" si="8"/>
        <v>1.1621621621621621</v>
      </c>
    </row>
    <row r="16" spans="1:28" x14ac:dyDescent="0.2">
      <c r="A16" s="109">
        <f t="shared" si="4"/>
        <v>8</v>
      </c>
      <c r="B16" s="44"/>
      <c r="C16" s="47">
        <f t="shared" si="0"/>
        <v>1.3386880856760541E-3</v>
      </c>
      <c r="D16" s="47">
        <f t="shared" si="0"/>
        <v>1.9430637144148166E-2</v>
      </c>
      <c r="E16" s="47">
        <f t="shared" si="0"/>
        <v>1.5100671140939603E-2</v>
      </c>
      <c r="F16" s="47">
        <f t="shared" si="0"/>
        <v>6.2604340567611327E-3</v>
      </c>
      <c r="G16" s="44"/>
      <c r="H16" s="47">
        <f t="shared" si="1"/>
        <v>-2.1478981282602172E-3</v>
      </c>
      <c r="I16" s="47">
        <f t="shared" si="1"/>
        <v>2.0098258150960113E-2</v>
      </c>
      <c r="J16" s="47">
        <f t="shared" si="1"/>
        <v>2.9654036243822013E-2</v>
      </c>
      <c r="K16" s="47">
        <f t="shared" si="1"/>
        <v>1.744186046511631E-2</v>
      </c>
      <c r="L16" s="47">
        <f t="shared" si="1"/>
        <v>9.2165898617511122E-3</v>
      </c>
      <c r="M16" s="44"/>
      <c r="N16" s="47">
        <f t="shared" si="2"/>
        <v>2.8846153846153744E-3</v>
      </c>
      <c r="O16" s="47">
        <f t="shared" si="2"/>
        <v>2.1629084215370353E-2</v>
      </c>
      <c r="P16" s="47">
        <f t="shared" si="2"/>
        <v>2.9801324503311299E-2</v>
      </c>
      <c r="Q16" s="47">
        <f t="shared" si="2"/>
        <v>1.8922852983988436E-2</v>
      </c>
      <c r="R16" s="47">
        <f t="shared" si="2"/>
        <v>1.3029315960912058E-2</v>
      </c>
      <c r="S16" s="44"/>
      <c r="T16" s="109">
        <f t="shared" si="5"/>
        <v>8</v>
      </c>
      <c r="U16" s="110">
        <f t="shared" si="6"/>
        <v>2022</v>
      </c>
      <c r="V16" s="326">
        <f>IF('General Data'!$H$24=1,'DOE Fuel Esc Rates'!C16,IF('General Data'!$H$24=2,'DOE Fuel Esc Rates'!H16,IF('General Data'!$H$24=3,'DOE Fuel Esc Rates'!N16,"")))</f>
        <v>-2.1478981282602172E-3</v>
      </c>
      <c r="W16" s="327">
        <f t="shared" si="3"/>
        <v>1.744186046511631E-2</v>
      </c>
      <c r="X16" s="70" t="str">
        <f>IF('General Data'!$H$24=1,IF('General Data'!$H$27=0,0,IF('General Data'!$H$27=1,E16,IF('General Data'!$H$27=2,F16,IF('General Data'!$H$27=3,D16,"error?")))),"")</f>
        <v/>
      </c>
      <c r="Y16" s="70">
        <f>IF('General Data'!$H$24=2,IF('General Data'!$H$27=0,0,IF('General Data'!$H$27=1,K16,IF('General Data'!$H$27=2,"error",IF('General Data'!$H$27=3,I16,IF('General Data'!$H$27=4,J16,IF('General Data'!$H$27=5,L16,"error?")))))),"")</f>
        <v>1.744186046511631E-2</v>
      </c>
      <c r="Z16" s="70" t="str">
        <f>IF('General Data'!$H$24=3,IF('General Data'!$H$27=0,0,IF('General Data'!$H$27=1,Q16,IF('General Data'!$H$27=2,"error",IF('General Data'!$H$27=3,O16,IF('General Data'!$H$27=4,P16,IF('General Data'!$H$27=5,R16,"error?")))))),"")</f>
        <v/>
      </c>
      <c r="AA16" s="113">
        <f t="shared" si="7"/>
        <v>1.0268392800757815</v>
      </c>
      <c r="AB16" s="113">
        <f t="shared" si="8"/>
        <v>1.1824324324324325</v>
      </c>
    </row>
    <row r="17" spans="1:28" x14ac:dyDescent="0.2">
      <c r="A17" s="109">
        <f t="shared" si="4"/>
        <v>9</v>
      </c>
      <c r="B17" s="44"/>
      <c r="C17" s="47">
        <f t="shared" si="0"/>
        <v>1.3368983957220415E-3</v>
      </c>
      <c r="D17" s="47">
        <f t="shared" si="0"/>
        <v>1.9503546099290947E-2</v>
      </c>
      <c r="E17" s="47">
        <f t="shared" si="0"/>
        <v>9.9173553719009711E-3</v>
      </c>
      <c r="F17" s="47">
        <f t="shared" si="0"/>
        <v>5.806719203649946E-3</v>
      </c>
      <c r="G17" s="44"/>
      <c r="H17" s="47">
        <f t="shared" si="1"/>
        <v>-2.4600246002461912E-3</v>
      </c>
      <c r="I17" s="47">
        <f t="shared" si="1"/>
        <v>1.9702276707530553E-2</v>
      </c>
      <c r="J17" s="47">
        <f t="shared" si="1"/>
        <v>2.9599999999999849E-2</v>
      </c>
      <c r="K17" s="47">
        <f t="shared" si="1"/>
        <v>1.0476190476190528E-2</v>
      </c>
      <c r="L17" s="47">
        <f t="shared" si="1"/>
        <v>1.3698630136986356E-2</v>
      </c>
      <c r="M17" s="44"/>
      <c r="N17" s="47">
        <f t="shared" si="2"/>
        <v>9.5877277085332224E-4</v>
      </c>
      <c r="O17" s="47">
        <f t="shared" si="2"/>
        <v>2.0270270270270174E-2</v>
      </c>
      <c r="P17" s="47">
        <f t="shared" si="2"/>
        <v>2.9742765273311988E-2</v>
      </c>
      <c r="Q17" s="47">
        <f t="shared" si="2"/>
        <v>1.28571428571429E-2</v>
      </c>
      <c r="R17" s="47">
        <f t="shared" si="2"/>
        <v>1.2861736334405238E-2</v>
      </c>
      <c r="S17" s="44"/>
      <c r="T17" s="109">
        <f t="shared" si="5"/>
        <v>9</v>
      </c>
      <c r="U17" s="110">
        <f t="shared" si="6"/>
        <v>2023</v>
      </c>
      <c r="V17" s="326">
        <f>IF('General Data'!$H$24=1,'DOE Fuel Esc Rates'!C17,IF('General Data'!$H$24=2,'DOE Fuel Esc Rates'!H17,IF('General Data'!$H$24=3,'DOE Fuel Esc Rates'!N17,"")))</f>
        <v>-2.4600246002461912E-3</v>
      </c>
      <c r="W17" s="327">
        <f t="shared" si="3"/>
        <v>1.0476190476190528E-2</v>
      </c>
      <c r="X17" s="70" t="str">
        <f>IF('General Data'!$H$24=1,IF('General Data'!$H$27=0,0,IF('General Data'!$H$27=1,E17,IF('General Data'!$H$27=2,F17,IF('General Data'!$H$27=3,D17,"error?")))),"")</f>
        <v/>
      </c>
      <c r="Y17" s="70">
        <f>IF('General Data'!$H$24=2,IF('General Data'!$H$27=0,0,IF('General Data'!$H$27=1,K17,IF('General Data'!$H$27=2,"error",IF('General Data'!$H$27=3,I17,IF('General Data'!$H$27=4,J17,IF('General Data'!$H$27=5,L17,"error?")))))),"")</f>
        <v>1.0476190476190528E-2</v>
      </c>
      <c r="Z17" s="70" t="str">
        <f>IF('General Data'!$H$24=3,IF('General Data'!$H$27=0,0,IF('General Data'!$H$27=1,Q17,IF('General Data'!$H$27=2,"error",IF('General Data'!$H$27=3,O17,IF('General Data'!$H$27=4,P17,IF('General Data'!$H$27=5,R17,"error?")))))),"")</f>
        <v/>
      </c>
      <c r="AA17" s="113">
        <f t="shared" si="7"/>
        <v>1.0243132301862961</v>
      </c>
      <c r="AB17" s="113">
        <f t="shared" si="8"/>
        <v>1.1948198198198199</v>
      </c>
    </row>
    <row r="18" spans="1:28" x14ac:dyDescent="0.2">
      <c r="A18" s="109">
        <f t="shared" si="4"/>
        <v>10</v>
      </c>
      <c r="B18" s="44"/>
      <c r="C18" s="47">
        <f t="shared" si="0"/>
        <v>5.8744993324433281E-3</v>
      </c>
      <c r="D18" s="47">
        <f t="shared" si="0"/>
        <v>2.0000000000000018E-2</v>
      </c>
      <c r="E18" s="47">
        <f t="shared" si="0"/>
        <v>1.7184942716857554E-2</v>
      </c>
      <c r="F18" s="47">
        <f t="shared" si="0"/>
        <v>5.3608247422680666E-3</v>
      </c>
      <c r="G18" s="44"/>
      <c r="H18" s="47">
        <f t="shared" si="1"/>
        <v>2.1578298397040285E-3</v>
      </c>
      <c r="I18" s="47">
        <f t="shared" si="1"/>
        <v>2.0180334907685893E-2</v>
      </c>
      <c r="J18" s="47">
        <f t="shared" si="1"/>
        <v>2.8749028749028849E-2</v>
      </c>
      <c r="K18" s="47">
        <f t="shared" si="1"/>
        <v>1.6965127238454336E-2</v>
      </c>
      <c r="L18" s="47">
        <f t="shared" si="1"/>
        <v>6.7567567567565767E-3</v>
      </c>
      <c r="M18" s="44"/>
      <c r="N18" s="47">
        <f t="shared" si="2"/>
        <v>7.6628352490422103E-3</v>
      </c>
      <c r="O18" s="47">
        <f t="shared" si="2"/>
        <v>2.1633554083885231E-2</v>
      </c>
      <c r="P18" s="47">
        <f t="shared" si="2"/>
        <v>2.8883684621389571E-2</v>
      </c>
      <c r="Q18" s="47">
        <f t="shared" si="2"/>
        <v>2.3977433004231274E-2</v>
      </c>
      <c r="R18" s="47">
        <f t="shared" si="2"/>
        <v>3.1746031746031633E-3</v>
      </c>
      <c r="S18" s="44"/>
      <c r="T18" s="109">
        <f t="shared" si="5"/>
        <v>10</v>
      </c>
      <c r="U18" s="110">
        <f t="shared" si="6"/>
        <v>2024</v>
      </c>
      <c r="V18" s="326">
        <f>IF('General Data'!$H$24=1,'DOE Fuel Esc Rates'!C18,IF('General Data'!$H$24=2,'DOE Fuel Esc Rates'!H18,IF('General Data'!$H$24=3,'DOE Fuel Esc Rates'!N18,"")))</f>
        <v>2.1578298397040285E-3</v>
      </c>
      <c r="W18" s="327">
        <f t="shared" si="3"/>
        <v>1.6965127238454336E-2</v>
      </c>
      <c r="X18" s="70" t="str">
        <f>IF('General Data'!$H$24=1,IF('General Data'!$H$27=0,0,IF('General Data'!$H$27=1,E18,IF('General Data'!$H$27=2,F18,IF('General Data'!$H$27=3,D18,"error?")))),"")</f>
        <v/>
      </c>
      <c r="Y18" s="70">
        <f>IF('General Data'!$H$24=2,IF('General Data'!$H$27=0,0,IF('General Data'!$H$27=1,K18,IF('General Data'!$H$27=2,"error",IF('General Data'!$H$27=3,I18,IF('General Data'!$H$27=4,J18,IF('General Data'!$H$27=5,L18,"error?")))))),"")</f>
        <v>1.6965127238454336E-2</v>
      </c>
      <c r="Z18" s="70" t="str">
        <f>IF('General Data'!$H$24=3,IF('General Data'!$H$27=0,0,IF('General Data'!$H$27=1,Q18,IF('General Data'!$H$27=2,"error",IF('General Data'!$H$27=3,O18,IF('General Data'!$H$27=4,P18,IF('General Data'!$H$27=5,R18,"error?")))))),"")</f>
        <v/>
      </c>
      <c r="AA18" s="113">
        <f t="shared" si="7"/>
        <v>1.0265235238395958</v>
      </c>
      <c r="AB18" s="113">
        <f t="shared" si="8"/>
        <v>1.2150900900900903</v>
      </c>
    </row>
    <row r="19" spans="1:28" x14ac:dyDescent="0.2">
      <c r="A19" s="109">
        <f t="shared" si="4"/>
        <v>11</v>
      </c>
      <c r="B19" s="44"/>
      <c r="C19" s="47">
        <f t="shared" si="0"/>
        <v>5.3092646668435606E-3</v>
      </c>
      <c r="D19" s="47">
        <f t="shared" si="0"/>
        <v>2.1312872975277175E-2</v>
      </c>
      <c r="E19" s="47">
        <f t="shared" si="0"/>
        <v>1.9308125502815798E-2</v>
      </c>
      <c r="F19" s="47">
        <f t="shared" si="0"/>
        <v>6.9729286300246329E-3</v>
      </c>
      <c r="G19" s="44"/>
      <c r="H19" s="47">
        <f t="shared" ref="H19:L28" si="9">(1-($AB$1/12))*H426 + ($AB$1/12)*H427</f>
        <v>3.9987696093510827E-3</v>
      </c>
      <c r="I19" s="47">
        <f t="shared" si="9"/>
        <v>2.0622895622895543E-2</v>
      </c>
      <c r="J19" s="47">
        <f t="shared" si="9"/>
        <v>3.09667673716012E-2</v>
      </c>
      <c r="K19" s="47">
        <f t="shared" si="9"/>
        <v>2.1316033364226161E-2</v>
      </c>
      <c r="L19" s="47">
        <f t="shared" si="9"/>
        <v>4.4742729306488371E-3</v>
      </c>
      <c r="M19" s="44"/>
      <c r="N19" s="47">
        <f t="shared" ref="N19:R28" si="10">(1-($AB$1/12))*N426 + ($AB$1/12)*N427</f>
        <v>6.6539923954371805E-3</v>
      </c>
      <c r="O19" s="47">
        <f t="shared" si="10"/>
        <v>2.1175453759723295E-2</v>
      </c>
      <c r="P19" s="47">
        <f t="shared" si="10"/>
        <v>3.0349013657056112E-2</v>
      </c>
      <c r="Q19" s="47">
        <f t="shared" si="10"/>
        <v>2.6170798898071723E-2</v>
      </c>
      <c r="R19" s="47">
        <f t="shared" si="10"/>
        <v>3.1645569620253333E-3</v>
      </c>
      <c r="S19" s="44"/>
      <c r="T19" s="109">
        <f t="shared" si="5"/>
        <v>11</v>
      </c>
      <c r="U19" s="110">
        <f t="shared" si="6"/>
        <v>2025</v>
      </c>
      <c r="V19" s="326">
        <f>IF('General Data'!$H$24=1,'DOE Fuel Esc Rates'!C19,IF('General Data'!$H$24=2,'DOE Fuel Esc Rates'!H19,IF('General Data'!$H$24=3,'DOE Fuel Esc Rates'!N19,"")))</f>
        <v>3.9987696093510827E-3</v>
      </c>
      <c r="W19" s="327">
        <f t="shared" si="3"/>
        <v>2.1316033364226161E-2</v>
      </c>
      <c r="X19" s="70" t="str">
        <f>IF('General Data'!$H$24=1,IF('General Data'!$H$27=0,0,IF('General Data'!$H$27=1,E19,IF('General Data'!$H$27=2,F19,IF('General Data'!$H$27=3,D19,"error?")))),"")</f>
        <v/>
      </c>
      <c r="Y19" s="70">
        <f>IF('General Data'!$H$24=2,IF('General Data'!$H$27=0,0,IF('General Data'!$H$27=1,K19,IF('General Data'!$H$27=2,"error",IF('General Data'!$H$27=3,I19,IF('General Data'!$H$27=4,J19,IF('General Data'!$H$27=5,L19,"error?")))))),"")</f>
        <v>2.1316033364226161E-2</v>
      </c>
      <c r="Z19" s="70" t="str">
        <f>IF('General Data'!$H$24=3,IF('General Data'!$H$27=0,0,IF('General Data'!$H$27=1,Q19,IF('General Data'!$H$27=2,"error",IF('General Data'!$H$27=3,O19,IF('General Data'!$H$27=4,P19,IF('General Data'!$H$27=5,R19,"error?")))))),"")</f>
        <v/>
      </c>
      <c r="AA19" s="113">
        <f t="shared" si="7"/>
        <v>1.0306283549100095</v>
      </c>
      <c r="AB19" s="113">
        <f t="shared" si="8"/>
        <v>1.2409909909909913</v>
      </c>
    </row>
    <row r="20" spans="1:28" x14ac:dyDescent="0.2">
      <c r="A20" s="109">
        <f t="shared" si="4"/>
        <v>12</v>
      </c>
      <c r="B20" s="44"/>
      <c r="C20" s="47">
        <f t="shared" si="0"/>
        <v>2.6406126221283355E-3</v>
      </c>
      <c r="D20" s="47">
        <f t="shared" si="0"/>
        <v>2.2120200333889617E-2</v>
      </c>
      <c r="E20" s="47">
        <f t="shared" si="0"/>
        <v>6.3141278610892027E-3</v>
      </c>
      <c r="F20" s="47">
        <f t="shared" si="0"/>
        <v>6.109979633401208E-3</v>
      </c>
      <c r="G20" s="44"/>
      <c r="H20" s="47">
        <f t="shared" si="9"/>
        <v>1.5318627450979783E-3</v>
      </c>
      <c r="I20" s="47">
        <f t="shared" si="9"/>
        <v>2.1443298969072044E-2</v>
      </c>
      <c r="J20" s="47">
        <f t="shared" si="9"/>
        <v>2.9304029304029422E-2</v>
      </c>
      <c r="K20" s="47">
        <f t="shared" si="9"/>
        <v>5.4446460980037692E-3</v>
      </c>
      <c r="L20" s="47">
        <f t="shared" si="9"/>
        <v>1.3363028953229383E-2</v>
      </c>
      <c r="M20" s="44"/>
      <c r="N20" s="47">
        <f t="shared" si="10"/>
        <v>3.3050047214353562E-3</v>
      </c>
      <c r="O20" s="47">
        <f t="shared" si="10"/>
        <v>2.0736352094794741E-2</v>
      </c>
      <c r="P20" s="47">
        <f t="shared" si="10"/>
        <v>3.0191458026509688E-2</v>
      </c>
      <c r="Q20" s="47">
        <f t="shared" si="10"/>
        <v>-1.3422818791946067E-3</v>
      </c>
      <c r="R20" s="47">
        <f t="shared" si="10"/>
        <v>6.3091482649841879E-3</v>
      </c>
      <c r="S20" s="44"/>
      <c r="T20" s="109">
        <f t="shared" si="5"/>
        <v>12</v>
      </c>
      <c r="U20" s="110">
        <f t="shared" si="6"/>
        <v>2026</v>
      </c>
      <c r="V20" s="326">
        <f>IF('General Data'!$H$24=1,'DOE Fuel Esc Rates'!C20,IF('General Data'!$H$24=2,'DOE Fuel Esc Rates'!H20,IF('General Data'!$H$24=3,'DOE Fuel Esc Rates'!N20,"")))</f>
        <v>1.5318627450979783E-3</v>
      </c>
      <c r="W20" s="327">
        <f t="shared" si="3"/>
        <v>5.4446460980037692E-3</v>
      </c>
      <c r="X20" s="70" t="str">
        <f>IF('General Data'!$H$24=1,IF('General Data'!$H$27=0,0,IF('General Data'!$H$27=1,E20,IF('General Data'!$H$27=2,F20,IF('General Data'!$H$27=3,D20,"error?")))),"")</f>
        <v/>
      </c>
      <c r="Y20" s="70">
        <f>IF('General Data'!$H$24=2,IF('General Data'!$H$27=0,0,IF('General Data'!$H$27=1,K20,IF('General Data'!$H$27=2,"error",IF('General Data'!$H$27=3,I20,IF('General Data'!$H$27=4,J20,IF('General Data'!$H$27=5,L20,"error?")))))),"")</f>
        <v>5.4446460980037692E-3</v>
      </c>
      <c r="Z20" s="70" t="str">
        <f>IF('General Data'!$H$24=3,IF('General Data'!$H$27=0,0,IF('General Data'!$H$27=1,Q20,IF('General Data'!$H$27=2,"error",IF('General Data'!$H$27=3,O20,IF('General Data'!$H$27=4,P20,IF('General Data'!$H$27=5,R20,"error?")))))),"")</f>
        <v/>
      </c>
      <c r="AA20" s="113">
        <f t="shared" si="7"/>
        <v>1.0322071360909377</v>
      </c>
      <c r="AB20" s="113">
        <f t="shared" si="8"/>
        <v>1.2477477477477483</v>
      </c>
    </row>
    <row r="21" spans="1:28" x14ac:dyDescent="0.2">
      <c r="A21" s="109">
        <f t="shared" si="4"/>
        <v>13</v>
      </c>
      <c r="B21" s="44"/>
      <c r="C21" s="47">
        <f t="shared" si="0"/>
        <v>-1.5801948907032681E-3</v>
      </c>
      <c r="D21" s="47">
        <f t="shared" si="0"/>
        <v>2.204981625153124E-2</v>
      </c>
      <c r="E21" s="47">
        <f t="shared" si="0"/>
        <v>-4.7058823529412264E-3</v>
      </c>
      <c r="F21" s="47">
        <f t="shared" si="0"/>
        <v>5.6680161943321039E-3</v>
      </c>
      <c r="G21" s="44"/>
      <c r="H21" s="47">
        <f t="shared" si="9"/>
        <v>-4.282655246252709E-3</v>
      </c>
      <c r="I21" s="47">
        <f t="shared" si="9"/>
        <v>2.1396851029471087E-2</v>
      </c>
      <c r="J21" s="47">
        <f t="shared" si="9"/>
        <v>2.918149466192177E-2</v>
      </c>
      <c r="K21" s="47">
        <f t="shared" si="9"/>
        <v>-7.2202166064981865E-3</v>
      </c>
      <c r="L21" s="47">
        <f t="shared" si="9"/>
        <v>6.59340659340657E-3</v>
      </c>
      <c r="M21" s="44"/>
      <c r="N21" s="47">
        <f t="shared" si="10"/>
        <v>-3.2941176470588918E-3</v>
      </c>
      <c r="O21" s="47">
        <f t="shared" si="10"/>
        <v>2.2388059701492491E-2</v>
      </c>
      <c r="P21" s="47">
        <f t="shared" si="10"/>
        <v>2.9306647605432445E-2</v>
      </c>
      <c r="Q21" s="47">
        <f t="shared" si="10"/>
        <v>-2.1505376344086002E-2</v>
      </c>
      <c r="R21" s="47">
        <f t="shared" si="10"/>
        <v>9.4043887147337024E-3</v>
      </c>
      <c r="S21" s="44"/>
      <c r="T21" s="109">
        <f t="shared" si="5"/>
        <v>13</v>
      </c>
      <c r="U21" s="110">
        <f t="shared" si="6"/>
        <v>2027</v>
      </c>
      <c r="V21" s="326">
        <f>IF('General Data'!$H$24=1,'DOE Fuel Esc Rates'!C21,IF('General Data'!$H$24=2,'DOE Fuel Esc Rates'!H21,IF('General Data'!$H$24=3,'DOE Fuel Esc Rates'!N21,"")))</f>
        <v>-4.282655246252709E-3</v>
      </c>
      <c r="W21" s="327">
        <f t="shared" si="3"/>
        <v>-7.2202166064981865E-3</v>
      </c>
      <c r="X21" s="70" t="str">
        <f>IF('General Data'!$H$24=1,IF('General Data'!$H$27=0,0,IF('General Data'!$H$27=1,E21,IF('General Data'!$H$27=2,F21,IF('General Data'!$H$27=3,D21,"error?")))),"")</f>
        <v/>
      </c>
      <c r="Y21" s="70">
        <f>IF('General Data'!$H$24=2,IF('General Data'!$H$27=0,0,IF('General Data'!$H$27=1,K21,IF('General Data'!$H$27=2,"error",IF('General Data'!$H$27=3,I21,IF('General Data'!$H$27=4,J21,IF('General Data'!$H$27=5,L21,"error?")))))),"")</f>
        <v>-7.2202166064981865E-3</v>
      </c>
      <c r="Z21" s="70" t="str">
        <f>IF('General Data'!$H$24=3,IF('General Data'!$H$27=0,0,IF('General Data'!$H$27=1,Q21,IF('General Data'!$H$27=2,"error",IF('General Data'!$H$27=3,O21,IF('General Data'!$H$27=4,P21,IF('General Data'!$H$27=5,R21,"error?")))))),"")</f>
        <v/>
      </c>
      <c r="AA21" s="113">
        <f t="shared" si="7"/>
        <v>1.0277865487843383</v>
      </c>
      <c r="AB21" s="113">
        <f t="shared" si="8"/>
        <v>1.2387387387387394</v>
      </c>
    </row>
    <row r="22" spans="1:28" x14ac:dyDescent="0.2">
      <c r="A22" s="109">
        <f t="shared" si="4"/>
        <v>14</v>
      </c>
      <c r="B22" s="44"/>
      <c r="C22" s="47">
        <f t="shared" si="0"/>
        <v>-3.4291743603269698E-3</v>
      </c>
      <c r="D22" s="47">
        <f t="shared" si="0"/>
        <v>2.2373152217339154E-2</v>
      </c>
      <c r="E22" s="47">
        <f t="shared" si="0"/>
        <v>-1.5760441292356209E-3</v>
      </c>
      <c r="F22" s="47">
        <f t="shared" si="0"/>
        <v>5.6360708534621828E-3</v>
      </c>
      <c r="G22" s="44"/>
      <c r="H22" s="47">
        <f t="shared" si="9"/>
        <v>-7.0660522273424675E-3</v>
      </c>
      <c r="I22" s="47">
        <f t="shared" si="9"/>
        <v>2.1343873517786438E-2</v>
      </c>
      <c r="J22" s="47">
        <f t="shared" si="9"/>
        <v>2.9737206085753698E-2</v>
      </c>
      <c r="K22" s="47">
        <f t="shared" si="9"/>
        <v>-4.5454545454546302E-3</v>
      </c>
      <c r="L22" s="47">
        <f t="shared" si="9"/>
        <v>1.3100436681222627E-2</v>
      </c>
      <c r="M22" s="44"/>
      <c r="N22" s="47">
        <f t="shared" si="10"/>
        <v>-4.2492917847025691E-3</v>
      </c>
      <c r="O22" s="47">
        <f t="shared" si="10"/>
        <v>2.108678021086785E-2</v>
      </c>
      <c r="P22" s="47">
        <f t="shared" si="10"/>
        <v>2.9861111111111116E-2</v>
      </c>
      <c r="Q22" s="47">
        <f t="shared" si="10"/>
        <v>-1.6483516483516536E-2</v>
      </c>
      <c r="R22" s="47">
        <f t="shared" si="10"/>
        <v>6.2111801242235032E-3</v>
      </c>
      <c r="S22" s="44"/>
      <c r="T22" s="109">
        <f t="shared" si="5"/>
        <v>14</v>
      </c>
      <c r="U22" s="110">
        <f t="shared" si="6"/>
        <v>2028</v>
      </c>
      <c r="V22" s="326">
        <f>IF('General Data'!$H$24=1,'DOE Fuel Esc Rates'!C22,IF('General Data'!$H$24=2,'DOE Fuel Esc Rates'!H22,IF('General Data'!$H$24=3,'DOE Fuel Esc Rates'!N22,"")))</f>
        <v>-7.0660522273424675E-3</v>
      </c>
      <c r="W22" s="327">
        <f t="shared" si="3"/>
        <v>-4.5454545454546302E-3</v>
      </c>
      <c r="X22" s="70" t="str">
        <f>IF('General Data'!$H$24=1,IF('General Data'!$H$27=0,0,IF('General Data'!$H$27=1,E22,IF('General Data'!$H$27=2,F22,IF('General Data'!$H$27=3,D22,"error?")))),"")</f>
        <v/>
      </c>
      <c r="Y22" s="70">
        <f>IF('General Data'!$H$24=2,IF('General Data'!$H$27=0,0,IF('General Data'!$H$27=1,K22,IF('General Data'!$H$27=2,"error",IF('General Data'!$H$27=3,I22,IF('General Data'!$H$27=4,J22,IF('General Data'!$H$27=5,L22,"error?")))))),"")</f>
        <v>-4.5454545454546302E-3</v>
      </c>
      <c r="Z22" s="70" t="str">
        <f>IF('General Data'!$H$24=3,IF('General Data'!$H$27=0,0,IF('General Data'!$H$27=1,Q22,IF('General Data'!$H$27=2,"error",IF('General Data'!$H$27=3,O22,IF('General Data'!$H$27=4,P22,IF('General Data'!$H$27=5,R22,"error?")))))),"")</f>
        <v/>
      </c>
      <c r="AA22" s="113">
        <f t="shared" si="7"/>
        <v>1.0205241553520681</v>
      </c>
      <c r="AB22" s="113">
        <f t="shared" si="8"/>
        <v>1.2331081081081088</v>
      </c>
    </row>
    <row r="23" spans="1:28" x14ac:dyDescent="0.2">
      <c r="A23" s="109">
        <f t="shared" si="4"/>
        <v>15</v>
      </c>
      <c r="B23" s="44"/>
      <c r="C23" s="47">
        <f t="shared" si="0"/>
        <v>2.6469031233444795E-4</v>
      </c>
      <c r="D23" s="47">
        <f t="shared" si="0"/>
        <v>2.2274325908558046E-2</v>
      </c>
      <c r="E23" s="47">
        <f t="shared" si="0"/>
        <v>3.1570639305447123E-3</v>
      </c>
      <c r="F23" s="47">
        <f t="shared" si="0"/>
        <v>6.4051240992795133E-3</v>
      </c>
      <c r="G23" s="44"/>
      <c r="H23" s="47">
        <f t="shared" si="9"/>
        <v>-2.7846534653466204E-3</v>
      </c>
      <c r="I23" s="47">
        <f t="shared" si="9"/>
        <v>2.0897832817337481E-2</v>
      </c>
      <c r="J23" s="47">
        <f t="shared" si="9"/>
        <v>3.0221625251846795E-2</v>
      </c>
      <c r="K23" s="47">
        <f t="shared" si="9"/>
        <v>2.73972602739736E-3</v>
      </c>
      <c r="L23" s="47">
        <f t="shared" si="9"/>
        <v>8.6206896551723755E-3</v>
      </c>
      <c r="M23" s="44"/>
      <c r="N23" s="47">
        <f t="shared" si="10"/>
        <v>4.7415836889519447E-4</v>
      </c>
      <c r="O23" s="47">
        <f t="shared" si="10"/>
        <v>1.9857029388403502E-2</v>
      </c>
      <c r="P23" s="47">
        <f t="shared" si="10"/>
        <v>3.0343897505057171E-2</v>
      </c>
      <c r="Q23" s="47">
        <f t="shared" si="10"/>
        <v>-8.379888268156499E-3</v>
      </c>
      <c r="R23" s="47">
        <f t="shared" si="10"/>
        <v>9.2592592592593004E-3</v>
      </c>
      <c r="S23" s="44"/>
      <c r="T23" s="109">
        <f t="shared" si="5"/>
        <v>15</v>
      </c>
      <c r="U23" s="110">
        <f t="shared" si="6"/>
        <v>2029</v>
      </c>
      <c r="V23" s="326">
        <f>IF('General Data'!$H$24=1,'DOE Fuel Esc Rates'!C23,IF('General Data'!$H$24=2,'DOE Fuel Esc Rates'!H23,IF('General Data'!$H$24=3,'DOE Fuel Esc Rates'!N23,"")))</f>
        <v>-2.7846534653466204E-3</v>
      </c>
      <c r="W23" s="327">
        <f t="shared" si="3"/>
        <v>2.73972602739736E-3</v>
      </c>
      <c r="X23" s="70" t="str">
        <f>IF('General Data'!$H$24=1,IF('General Data'!$H$27=0,0,IF('General Data'!$H$27=1,E23,IF('General Data'!$H$27=2,F23,IF('General Data'!$H$27=3,D23,"error?")))),"")</f>
        <v/>
      </c>
      <c r="Y23" s="70">
        <f>IF('General Data'!$H$24=2,IF('General Data'!$H$27=0,0,IF('General Data'!$H$27=1,K23,IF('General Data'!$H$27=2,"error",IF('General Data'!$H$27=3,I23,IF('General Data'!$H$27=4,J23,IF('General Data'!$H$27=5,L23,"error?")))))),"")</f>
        <v>2.73972602739736E-3</v>
      </c>
      <c r="Z23" s="70" t="str">
        <f>IF('General Data'!$H$24=3,IF('General Data'!$H$27=0,0,IF('General Data'!$H$27=1,Q23,IF('General Data'!$H$27=2,"error",IF('General Data'!$H$27=3,O23,IF('General Data'!$H$27=4,P23,IF('General Data'!$H$27=5,R23,"error?")))))),"")</f>
        <v/>
      </c>
      <c r="AA23" s="113">
        <f t="shared" si="7"/>
        <v>1.0176823492263971</v>
      </c>
      <c r="AB23" s="113">
        <f t="shared" si="8"/>
        <v>1.2364864864864873</v>
      </c>
    </row>
    <row r="24" spans="1:28" x14ac:dyDescent="0.2">
      <c r="A24" s="109">
        <f t="shared" si="4"/>
        <v>16</v>
      </c>
      <c r="B24" s="44"/>
      <c r="C24" s="47">
        <f t="shared" si="0"/>
        <v>1.8523418893887644E-3</v>
      </c>
      <c r="D24" s="47">
        <f t="shared" si="0"/>
        <v>2.2553516819571851E-2</v>
      </c>
      <c r="E24" s="47">
        <f t="shared" si="0"/>
        <v>9.4413847364278602E-3</v>
      </c>
      <c r="F24" s="47">
        <f t="shared" si="0"/>
        <v>7.5576770087508738E-3</v>
      </c>
      <c r="G24" s="44"/>
      <c r="H24" s="47">
        <f t="shared" si="9"/>
        <v>-1.2410797393732631E-3</v>
      </c>
      <c r="I24" s="47">
        <f t="shared" si="9"/>
        <v>2.1228203184230576E-2</v>
      </c>
      <c r="J24" s="47">
        <f t="shared" si="9"/>
        <v>3.1290743155149903E-2</v>
      </c>
      <c r="K24" s="47">
        <f t="shared" si="9"/>
        <v>8.1967213114753079E-3</v>
      </c>
      <c r="L24" s="47">
        <f t="shared" si="9"/>
        <v>4.2735042735044804E-3</v>
      </c>
      <c r="M24" s="44"/>
      <c r="N24" s="47">
        <f t="shared" si="10"/>
        <v>1.8957345971564177E-3</v>
      </c>
      <c r="O24" s="47">
        <f t="shared" si="10"/>
        <v>2.1806853582554409E-2</v>
      </c>
      <c r="P24" s="47">
        <f t="shared" si="10"/>
        <v>3.0759162303664933E-2</v>
      </c>
      <c r="Q24" s="47">
        <f t="shared" si="10"/>
        <v>7.0422535211267512E-3</v>
      </c>
      <c r="R24" s="47">
        <f t="shared" si="10"/>
        <v>6.1162079510703737E-3</v>
      </c>
      <c r="S24" s="44"/>
      <c r="T24" s="109">
        <f t="shared" si="5"/>
        <v>16</v>
      </c>
      <c r="U24" s="110">
        <f t="shared" si="6"/>
        <v>2030</v>
      </c>
      <c r="V24" s="326">
        <f>IF('General Data'!$H$24=1,'DOE Fuel Esc Rates'!C24,IF('General Data'!$H$24=2,'DOE Fuel Esc Rates'!H24,IF('General Data'!$H$24=3,'DOE Fuel Esc Rates'!N24,"")))</f>
        <v>-1.2410797393732631E-3</v>
      </c>
      <c r="W24" s="327">
        <f t="shared" si="3"/>
        <v>8.1967213114753079E-3</v>
      </c>
      <c r="X24" s="70" t="str">
        <f>IF('General Data'!$H$24=1,IF('General Data'!$H$27=0,0,IF('General Data'!$H$27=1,E24,IF('General Data'!$H$27=2,F24,IF('General Data'!$H$27=3,D24,"error?")))),"")</f>
        <v/>
      </c>
      <c r="Y24" s="70">
        <f>IF('General Data'!$H$24=2,IF('General Data'!$H$27=0,0,IF('General Data'!$H$27=1,K24,IF('General Data'!$H$27=2,"error",IF('General Data'!$H$27=3,I24,IF('General Data'!$H$27=4,J24,IF('General Data'!$H$27=5,L24,"error?")))))),"")</f>
        <v>8.1967213114753079E-3</v>
      </c>
      <c r="Z24" s="70" t="str">
        <f>IF('General Data'!$H$24=3,IF('General Data'!$H$27=0,0,IF('General Data'!$H$27=1,Q24,IF('General Data'!$H$27=2,"error",IF('General Data'!$H$27=3,O24,IF('General Data'!$H$27=4,P24,IF('General Data'!$H$27=5,R24,"error?")))))),"")</f>
        <v/>
      </c>
      <c r="AA24" s="113">
        <f t="shared" si="7"/>
        <v>1.0164193242816544</v>
      </c>
      <c r="AB24" s="113">
        <f t="shared" si="8"/>
        <v>1.2466216216216224</v>
      </c>
    </row>
    <row r="25" spans="1:28" x14ac:dyDescent="0.2">
      <c r="A25" s="109">
        <f t="shared" si="4"/>
        <v>17</v>
      </c>
      <c r="B25" s="44"/>
      <c r="C25" s="47">
        <f t="shared" si="0"/>
        <v>2.9054410987849888E-3</v>
      </c>
      <c r="D25" s="47">
        <f t="shared" si="0"/>
        <v>2.2056074766355183E-2</v>
      </c>
      <c r="E25" s="47">
        <f t="shared" si="0"/>
        <v>1.4809041309431059E-2</v>
      </c>
      <c r="F25" s="47">
        <f t="shared" si="0"/>
        <v>9.0801421239636859E-3</v>
      </c>
      <c r="G25" s="44"/>
      <c r="H25" s="47">
        <f t="shared" si="9"/>
        <v>0</v>
      </c>
      <c r="I25" s="47">
        <f t="shared" si="9"/>
        <v>2.1900519673348162E-2</v>
      </c>
      <c r="J25" s="47">
        <f t="shared" si="9"/>
        <v>3.0341340075853429E-2</v>
      </c>
      <c r="K25" s="47">
        <f t="shared" si="9"/>
        <v>1.6260162601625883E-2</v>
      </c>
      <c r="L25" s="47">
        <f t="shared" si="9"/>
        <v>1.2765957446808418E-2</v>
      </c>
      <c r="M25" s="44"/>
      <c r="N25" s="47">
        <f t="shared" si="10"/>
        <v>3.3112582781456013E-3</v>
      </c>
      <c r="O25" s="47">
        <f t="shared" si="10"/>
        <v>2.2484756097560954E-2</v>
      </c>
      <c r="P25" s="47">
        <f t="shared" si="10"/>
        <v>3.0476190476190546E-2</v>
      </c>
      <c r="Q25" s="47">
        <f t="shared" si="10"/>
        <v>2.0979020979020824E-2</v>
      </c>
      <c r="R25" s="47">
        <f t="shared" si="10"/>
        <v>6.0790273556230456E-3</v>
      </c>
      <c r="S25" s="44"/>
      <c r="T25" s="109">
        <f t="shared" si="5"/>
        <v>17</v>
      </c>
      <c r="U25" s="110">
        <f t="shared" si="6"/>
        <v>2031</v>
      </c>
      <c r="V25" s="326">
        <f>IF('General Data'!$H$24=1,'DOE Fuel Esc Rates'!C25,IF('General Data'!$H$24=2,'DOE Fuel Esc Rates'!H25,IF('General Data'!$H$24=3,'DOE Fuel Esc Rates'!N25,"")))</f>
        <v>0</v>
      </c>
      <c r="W25" s="327">
        <f t="shared" si="3"/>
        <v>1.6260162601625883E-2</v>
      </c>
      <c r="X25" s="70" t="str">
        <f>IF('General Data'!$H$24=1,IF('General Data'!$H$27=0,0,IF('General Data'!$H$27=1,E25,IF('General Data'!$H$27=2,F25,IF('General Data'!$H$27=3,D25,"error?")))),"")</f>
        <v/>
      </c>
      <c r="Y25" s="70">
        <f>IF('General Data'!$H$24=2,IF('General Data'!$H$27=0,0,IF('General Data'!$H$27=1,K25,IF('General Data'!$H$27=2,"error",IF('General Data'!$H$27=3,I25,IF('General Data'!$H$27=4,J25,IF('General Data'!$H$27=5,L25,"error?")))))),"")</f>
        <v>1.6260162601625883E-2</v>
      </c>
      <c r="Z25" s="70" t="str">
        <f>IF('General Data'!$H$24=3,IF('General Data'!$H$27=0,0,IF('General Data'!$H$27=1,Q25,IF('General Data'!$H$27=2,"error",IF('General Data'!$H$27=3,O25,IF('General Data'!$H$27=4,P25,IF('General Data'!$H$27=5,R25,"error?")))))),"")</f>
        <v/>
      </c>
      <c r="AA25" s="113">
        <f t="shared" si="7"/>
        <v>1.0164193242816544</v>
      </c>
      <c r="AB25" s="113">
        <f t="shared" si="8"/>
        <v>1.2668918918918926</v>
      </c>
    </row>
    <row r="26" spans="1:28" x14ac:dyDescent="0.2">
      <c r="A26" s="109">
        <f t="shared" si="4"/>
        <v>18</v>
      </c>
      <c r="B26" s="44"/>
      <c r="C26" s="47">
        <f t="shared" si="0"/>
        <v>4.2138530418751596E-3</v>
      </c>
      <c r="D26" s="47">
        <f t="shared" si="0"/>
        <v>2.2311631309436697E-2</v>
      </c>
      <c r="E26" s="47">
        <f t="shared" si="0"/>
        <v>1.4592933947772835E-2</v>
      </c>
      <c r="F26" s="47">
        <f t="shared" si="0"/>
        <v>7.8247261345854024E-3</v>
      </c>
      <c r="G26" s="44"/>
      <c r="H26" s="47">
        <f t="shared" si="9"/>
        <v>2.1745883814849876E-3</v>
      </c>
      <c r="I26" s="47">
        <f t="shared" si="9"/>
        <v>2.2520886305848142E-2</v>
      </c>
      <c r="J26" s="47">
        <f t="shared" si="9"/>
        <v>2.8220858895705581E-2</v>
      </c>
      <c r="K26" s="47">
        <f t="shared" si="9"/>
        <v>1.3333333333333419E-2</v>
      </c>
      <c r="L26" s="47">
        <f t="shared" si="9"/>
        <v>8.4033613445377853E-3</v>
      </c>
      <c r="M26" s="44"/>
      <c r="N26" s="47">
        <f t="shared" si="10"/>
        <v>5.657708628005631E-3</v>
      </c>
      <c r="O26" s="47">
        <f t="shared" si="10"/>
        <v>2.2735743570629907E-2</v>
      </c>
      <c r="P26" s="47">
        <f t="shared" si="10"/>
        <v>2.8342575477510845E-2</v>
      </c>
      <c r="Q26" s="47">
        <f t="shared" si="10"/>
        <v>1.5068493150685036E-2</v>
      </c>
      <c r="R26" s="47">
        <f t="shared" si="10"/>
        <v>9.0634441087613649E-3</v>
      </c>
      <c r="S26" s="44"/>
      <c r="T26" s="109">
        <f t="shared" si="5"/>
        <v>18</v>
      </c>
      <c r="U26" s="110">
        <f t="shared" si="6"/>
        <v>2032</v>
      </c>
      <c r="V26" s="326">
        <f>IF('General Data'!$H$24=1,'DOE Fuel Esc Rates'!C26,IF('General Data'!$H$24=2,'DOE Fuel Esc Rates'!H26,IF('General Data'!$H$24=3,'DOE Fuel Esc Rates'!N26,"")))</f>
        <v>2.1745883814849876E-3</v>
      </c>
      <c r="W26" s="327">
        <f t="shared" si="3"/>
        <v>1.3333333333333419E-2</v>
      </c>
      <c r="X26" s="70" t="str">
        <f>IF('General Data'!$H$24=1,IF('General Data'!$H$27=0,0,IF('General Data'!$H$27=1,E26,IF('General Data'!$H$27=2,F26,IF('General Data'!$H$27=3,D26,"error?")))),"")</f>
        <v/>
      </c>
      <c r="Y26" s="70">
        <f>IF('General Data'!$H$24=2,IF('General Data'!$H$27=0,0,IF('General Data'!$H$27=1,K26,IF('General Data'!$H$27=2,"error",IF('General Data'!$H$27=3,I26,IF('General Data'!$H$27=4,J26,IF('General Data'!$H$27=5,L26,"error?")))))),"")</f>
        <v>1.3333333333333419E-2</v>
      </c>
      <c r="Z26" s="70" t="str">
        <f>IF('General Data'!$H$24=3,IF('General Data'!$H$27=0,0,IF('General Data'!$H$27=1,Q26,IF('General Data'!$H$27=2,"error",IF('General Data'!$H$27=3,O26,IF('General Data'!$H$27=4,P26,IF('General Data'!$H$27=5,R26,"error?")))))),"")</f>
        <v/>
      </c>
      <c r="AA26" s="113">
        <f t="shared" si="7"/>
        <v>1.0186296179349541</v>
      </c>
      <c r="AB26" s="113">
        <f t="shared" si="8"/>
        <v>1.2837837837837847</v>
      </c>
    </row>
    <row r="27" spans="1:28" x14ac:dyDescent="0.2">
      <c r="A27" s="109">
        <f t="shared" si="4"/>
        <v>19</v>
      </c>
      <c r="B27" s="44"/>
      <c r="C27" s="47">
        <f t="shared" si="0"/>
        <v>3.1471282454760274E-3</v>
      </c>
      <c r="D27" s="47">
        <f t="shared" si="0"/>
        <v>2.2898032200357799E-2</v>
      </c>
      <c r="E27" s="47">
        <f t="shared" si="0"/>
        <v>1.2869038607115746E-2</v>
      </c>
      <c r="F27" s="47">
        <f t="shared" si="0"/>
        <v>7.763975155279379E-3</v>
      </c>
      <c r="G27" s="44"/>
      <c r="H27" s="47">
        <f t="shared" si="9"/>
        <v>1.2399256044637319E-3</v>
      </c>
      <c r="I27" s="47">
        <f t="shared" si="9"/>
        <v>2.2735346358792263E-2</v>
      </c>
      <c r="J27" s="47">
        <f t="shared" si="9"/>
        <v>3.0429594272076255E-2</v>
      </c>
      <c r="K27" s="47">
        <f t="shared" si="9"/>
        <v>1.2280701754385781E-2</v>
      </c>
      <c r="L27" s="47">
        <f t="shared" si="9"/>
        <v>1.2500000000000178E-2</v>
      </c>
      <c r="M27" s="44"/>
      <c r="N27" s="47">
        <f t="shared" si="10"/>
        <v>4.6882325363337696E-3</v>
      </c>
      <c r="O27" s="47">
        <f t="shared" si="10"/>
        <v>2.3688046647230232E-2</v>
      </c>
      <c r="P27" s="47">
        <f t="shared" si="10"/>
        <v>3.1156381066506755E-2</v>
      </c>
      <c r="Q27" s="47">
        <f t="shared" si="10"/>
        <v>1.4844804318488558E-2</v>
      </c>
      <c r="R27" s="47">
        <f t="shared" si="10"/>
        <v>5.9880239520957446E-3</v>
      </c>
      <c r="S27" s="44"/>
      <c r="T27" s="109">
        <f t="shared" si="5"/>
        <v>19</v>
      </c>
      <c r="U27" s="110">
        <f t="shared" si="6"/>
        <v>2033</v>
      </c>
      <c r="V27" s="326">
        <f>IF('General Data'!$H$24=1,'DOE Fuel Esc Rates'!C27,IF('General Data'!$H$24=2,'DOE Fuel Esc Rates'!H27,IF('General Data'!$H$24=3,'DOE Fuel Esc Rates'!N27,"")))</f>
        <v>1.2399256044637319E-3</v>
      </c>
      <c r="W27" s="327">
        <f t="shared" si="3"/>
        <v>1.2280701754385781E-2</v>
      </c>
      <c r="X27" s="70" t="str">
        <f>IF('General Data'!$H$24=1,IF('General Data'!$H$27=0,0,IF('General Data'!$H$27=1,E27,IF('General Data'!$H$27=2,F27,IF('General Data'!$H$27=3,D27,"error?")))),"")</f>
        <v/>
      </c>
      <c r="Y27" s="70">
        <f>IF('General Data'!$H$24=2,IF('General Data'!$H$27=0,0,IF('General Data'!$H$27=1,K27,IF('General Data'!$H$27=2,"error",IF('General Data'!$H$27=3,I27,IF('General Data'!$H$27=4,J27,IF('General Data'!$H$27=5,L27,"error?")))))),"")</f>
        <v>1.2280701754385781E-2</v>
      </c>
      <c r="Z27" s="70" t="str">
        <f>IF('General Data'!$H$24=3,IF('General Data'!$H$27=0,0,IF('General Data'!$H$27=1,Q27,IF('General Data'!$H$27=2,"error",IF('General Data'!$H$27=3,O27,IF('General Data'!$H$27=4,P27,IF('General Data'!$H$27=5,R27,"error?")))))),"")</f>
        <v/>
      </c>
      <c r="AA27" s="113">
        <f t="shared" si="7"/>
        <v>1.0198926428796968</v>
      </c>
      <c r="AB27" s="113">
        <f t="shared" si="8"/>
        <v>1.2995495495495502</v>
      </c>
    </row>
    <row r="28" spans="1:28" x14ac:dyDescent="0.2">
      <c r="A28" s="109">
        <f t="shared" si="4"/>
        <v>20</v>
      </c>
      <c r="B28" s="44"/>
      <c r="C28" s="47">
        <f t="shared" si="0"/>
        <v>3.6601307189543242E-3</v>
      </c>
      <c r="D28" s="47">
        <f t="shared" si="0"/>
        <v>2.2035676810073346E-2</v>
      </c>
      <c r="E28" s="47">
        <f t="shared" si="0"/>
        <v>1.5695067264573925E-2</v>
      </c>
      <c r="F28" s="47">
        <f t="shared" si="0"/>
        <v>7.7041602465330872E-3</v>
      </c>
      <c r="G28" s="44"/>
      <c r="H28" s="47">
        <f t="shared" si="9"/>
        <v>2.1671826625386803E-3</v>
      </c>
      <c r="I28" s="47">
        <f t="shared" si="9"/>
        <v>2.1882598124348895E-2</v>
      </c>
      <c r="J28" s="47">
        <f t="shared" si="9"/>
        <v>3.0689056166763207E-2</v>
      </c>
      <c r="K28" s="47">
        <f t="shared" si="9"/>
        <v>1.7331022530329365E-2</v>
      </c>
      <c r="L28" s="47">
        <f t="shared" si="9"/>
        <v>1.0288065843621297E-2</v>
      </c>
      <c r="M28" s="44"/>
      <c r="N28" s="47">
        <f t="shared" si="10"/>
        <v>5.1329911339244028E-3</v>
      </c>
      <c r="O28" s="47">
        <f t="shared" si="10"/>
        <v>2.2071911712353121E-2</v>
      </c>
      <c r="P28" s="47">
        <f t="shared" si="10"/>
        <v>3.0214991284137183E-2</v>
      </c>
      <c r="Q28" s="47">
        <f t="shared" si="10"/>
        <v>2.1276595744680771E-2</v>
      </c>
      <c r="R28" s="47">
        <f t="shared" si="10"/>
        <v>5.9523809523809312E-3</v>
      </c>
      <c r="S28" s="44"/>
      <c r="T28" s="109">
        <f t="shared" si="5"/>
        <v>20</v>
      </c>
      <c r="U28" s="110">
        <f t="shared" si="6"/>
        <v>2034</v>
      </c>
      <c r="V28" s="326">
        <f>IF('General Data'!$H$24=1,'DOE Fuel Esc Rates'!C28,IF('General Data'!$H$24=2,'DOE Fuel Esc Rates'!H28,IF('General Data'!$H$24=3,'DOE Fuel Esc Rates'!N28,"")))</f>
        <v>2.1671826625386803E-3</v>
      </c>
      <c r="W28" s="327">
        <f t="shared" si="3"/>
        <v>1.7331022530329365E-2</v>
      </c>
      <c r="X28" s="70" t="str">
        <f>IF('General Data'!$H$24=1,IF('General Data'!$H$27=0,0,IF('General Data'!$H$27=1,E28,IF('General Data'!$H$27=2,F28,IF('General Data'!$H$27=3,D28,"error?")))),"")</f>
        <v/>
      </c>
      <c r="Y28" s="70">
        <f>IF('General Data'!$H$24=2,IF('General Data'!$H$27=0,0,IF('General Data'!$H$27=1,K28,IF('General Data'!$H$27=2,"error",IF('General Data'!$H$27=3,I28,IF('General Data'!$H$27=4,J28,IF('General Data'!$H$27=5,L28,"error?")))))),"")</f>
        <v>1.7331022530329365E-2</v>
      </c>
      <c r="Z28" s="70" t="str">
        <f>IF('General Data'!$H$24=3,IF('General Data'!$H$27=0,0,IF('General Data'!$H$27=1,Q28,IF('General Data'!$H$27=2,"error",IF('General Data'!$H$27=3,O28,IF('General Data'!$H$27=4,P28,IF('General Data'!$H$27=5,R28,"error?")))))),"")</f>
        <v/>
      </c>
      <c r="AA28" s="113">
        <f t="shared" si="7"/>
        <v>1.0221029365329966</v>
      </c>
      <c r="AB28" s="113">
        <f t="shared" si="8"/>
        <v>1.3220720720720729</v>
      </c>
    </row>
    <row r="29" spans="1:28" x14ac:dyDescent="0.2">
      <c r="A29" s="109">
        <f t="shared" si="4"/>
        <v>21</v>
      </c>
      <c r="B29" s="44"/>
      <c r="C29" s="47">
        <f t="shared" si="0"/>
        <v>4.4282365199270757E-3</v>
      </c>
      <c r="D29" s="47">
        <f t="shared" si="0"/>
        <v>2.2245037645448384E-2</v>
      </c>
      <c r="E29" s="47">
        <f t="shared" si="0"/>
        <v>1.6924208977189048E-2</v>
      </c>
      <c r="F29" s="47">
        <f t="shared" si="0"/>
        <v>8.0275229357797961E-3</v>
      </c>
      <c r="G29" s="44"/>
      <c r="H29" s="47">
        <f t="shared" ref="H29:L38" si="11">(1-($AB$1/12))*H436 + ($AB$1/12)*H437</f>
        <v>2.780352177942591E-3</v>
      </c>
      <c r="I29" s="47">
        <f t="shared" si="11"/>
        <v>2.209381373215491E-2</v>
      </c>
      <c r="J29" s="47">
        <f t="shared" si="11"/>
        <v>2.9213483146067309E-2</v>
      </c>
      <c r="K29" s="47">
        <f t="shared" si="11"/>
        <v>1.7035775127768327E-2</v>
      </c>
      <c r="L29" s="47">
        <f t="shared" si="11"/>
        <v>6.109979633401208E-3</v>
      </c>
      <c r="M29" s="44"/>
      <c r="N29" s="47">
        <f t="shared" ref="N29:R38" si="12">(1-($AB$1/12))*N436 + ($AB$1/12)*N437</f>
        <v>5.5710306406686616E-3</v>
      </c>
      <c r="O29" s="47">
        <f t="shared" si="12"/>
        <v>2.2640195053988066E-2</v>
      </c>
      <c r="P29" s="47">
        <f t="shared" si="12"/>
        <v>2.932882120699376E-2</v>
      </c>
      <c r="Q29" s="47">
        <f t="shared" si="12"/>
        <v>2.0833333333333259E-2</v>
      </c>
      <c r="R29" s="47">
        <f t="shared" si="12"/>
        <v>5.9171597633136397E-3</v>
      </c>
      <c r="S29" s="44"/>
      <c r="T29" s="109">
        <f t="shared" si="5"/>
        <v>21</v>
      </c>
      <c r="U29" s="110">
        <f t="shared" si="6"/>
        <v>2035</v>
      </c>
      <c r="V29" s="326">
        <f>IF('General Data'!$H$24=1,'DOE Fuel Esc Rates'!C29,IF('General Data'!$H$24=2,'DOE Fuel Esc Rates'!H29,IF('General Data'!$H$24=3,'DOE Fuel Esc Rates'!N29,"")))</f>
        <v>2.780352177942591E-3</v>
      </c>
      <c r="W29" s="327">
        <f t="shared" si="3"/>
        <v>1.7035775127768327E-2</v>
      </c>
      <c r="X29" s="70" t="str">
        <f>IF('General Data'!$H$24=1,IF('General Data'!$H$27=0,0,IF('General Data'!$H$27=1,E29,IF('General Data'!$H$27=2,F29,IF('General Data'!$H$27=3,D29,"error?")))),"")</f>
        <v/>
      </c>
      <c r="Y29" s="70">
        <f>IF('General Data'!$H$24=2,IF('General Data'!$H$27=0,0,IF('General Data'!$H$27=1,K29,IF('General Data'!$H$27=2,"error",IF('General Data'!$H$27=3,I29,IF('General Data'!$H$27=4,J29,IF('General Data'!$H$27=5,L29,"error?")))))),"")</f>
        <v>1.7035775127768327E-2</v>
      </c>
      <c r="Z29" s="70" t="str">
        <f>IF('General Data'!$H$24=3,IF('General Data'!$H$27=0,0,IF('General Data'!$H$27=1,Q29,IF('General Data'!$H$27=2,"error",IF('General Data'!$H$27=3,O29,IF('General Data'!$H$27=4,P29,IF('General Data'!$H$27=5,R29,"error?")))))),"")</f>
        <v/>
      </c>
      <c r="AA29" s="113">
        <f t="shared" si="7"/>
        <v>1.0249447426586675</v>
      </c>
      <c r="AB29" s="113">
        <f t="shared" si="8"/>
        <v>1.3445945945945954</v>
      </c>
    </row>
    <row r="30" spans="1:28" x14ac:dyDescent="0.2">
      <c r="A30" s="109">
        <f t="shared" si="4"/>
        <v>22</v>
      </c>
      <c r="B30" s="44"/>
      <c r="C30" s="47">
        <f t="shared" si="0"/>
        <v>5.9647302904564103E-3</v>
      </c>
      <c r="D30" s="47">
        <f t="shared" si="0"/>
        <v>2.3100100435219151E-2</v>
      </c>
      <c r="E30" s="47">
        <f t="shared" si="0"/>
        <v>1.1577424023154759E-2</v>
      </c>
      <c r="F30" s="47">
        <f t="shared" si="0"/>
        <v>6.8259385665527805E-3</v>
      </c>
      <c r="G30" s="44"/>
      <c r="H30" s="47">
        <f t="shared" si="11"/>
        <v>4.6210720887245316E-3</v>
      </c>
      <c r="I30" s="47">
        <f t="shared" si="11"/>
        <v>2.2613900897904937E-2</v>
      </c>
      <c r="J30" s="47">
        <f t="shared" si="11"/>
        <v>2.893013100436681E-2</v>
      </c>
      <c r="K30" s="47">
        <f t="shared" si="11"/>
        <v>1.0050251256281451E-2</v>
      </c>
      <c r="L30" s="47">
        <f t="shared" si="11"/>
        <v>1.4170040485829816E-2</v>
      </c>
      <c r="M30" s="44"/>
      <c r="N30" s="47">
        <f t="shared" si="12"/>
        <v>8.310249307479145E-3</v>
      </c>
      <c r="O30" s="47">
        <f t="shared" si="12"/>
        <v>2.3501362397820191E-2</v>
      </c>
      <c r="P30" s="47">
        <f t="shared" si="12"/>
        <v>2.9041095890411039E-2</v>
      </c>
      <c r="Q30" s="47">
        <f t="shared" si="12"/>
        <v>1.1479591836734748E-2</v>
      </c>
      <c r="R30" s="47">
        <f t="shared" si="12"/>
        <v>8.8235294117646745E-3</v>
      </c>
      <c r="S30" s="44"/>
      <c r="T30" s="109">
        <f t="shared" si="5"/>
        <v>22</v>
      </c>
      <c r="U30" s="110">
        <f t="shared" si="6"/>
        <v>2036</v>
      </c>
      <c r="V30" s="326">
        <f>IF('General Data'!$H$24=1,'DOE Fuel Esc Rates'!C30,IF('General Data'!$H$24=2,'DOE Fuel Esc Rates'!H30,IF('General Data'!$H$24=3,'DOE Fuel Esc Rates'!N30,"")))</f>
        <v>4.6210720887245316E-3</v>
      </c>
      <c r="W30" s="327">
        <f t="shared" si="3"/>
        <v>1.0050251256281451E-2</v>
      </c>
      <c r="X30" s="70" t="str">
        <f>IF('General Data'!$H$24=1,IF('General Data'!$H$27=0,0,IF('General Data'!$H$27=1,E30,IF('General Data'!$H$27=2,F30,IF('General Data'!$H$27=3,D30,"error?")))),"")</f>
        <v/>
      </c>
      <c r="Y30" s="70">
        <f>IF('General Data'!$H$24=2,IF('General Data'!$H$27=0,0,IF('General Data'!$H$27=1,K30,IF('General Data'!$H$27=2,"error",IF('General Data'!$H$27=3,I30,IF('General Data'!$H$27=4,J30,IF('General Data'!$H$27=5,L30,"error?")))))),"")</f>
        <v>1.0050251256281451E-2</v>
      </c>
      <c r="Z30" s="70" t="str">
        <f>IF('General Data'!$H$24=3,IF('General Data'!$H$27=0,0,IF('General Data'!$H$27=1,Q30,IF('General Data'!$H$27=2,"error",IF('General Data'!$H$27=3,O30,IF('General Data'!$H$27=4,P30,IF('General Data'!$H$27=5,R30,"error?")))))),"")</f>
        <v/>
      </c>
      <c r="AA30" s="113">
        <f t="shared" si="7"/>
        <v>1.0296810862014525</v>
      </c>
      <c r="AB30" s="113">
        <f t="shared" si="8"/>
        <v>1.358108108108109</v>
      </c>
    </row>
    <row r="31" spans="1:28" x14ac:dyDescent="0.2">
      <c r="A31" s="109">
        <f t="shared" si="4"/>
        <v>23</v>
      </c>
      <c r="B31" s="44"/>
      <c r="C31" s="47">
        <f t="shared" si="0"/>
        <v>6.444960041247727E-3</v>
      </c>
      <c r="D31" s="47">
        <f t="shared" si="0"/>
        <v>2.3887434554973774E-2</v>
      </c>
      <c r="E31" s="47">
        <f t="shared" si="0"/>
        <v>1.7167381974249052E-2</v>
      </c>
      <c r="F31" s="47">
        <f t="shared" si="0"/>
        <v>7.1563088512240913E-3</v>
      </c>
      <c r="G31" s="44"/>
      <c r="H31" s="47">
        <f t="shared" si="11"/>
        <v>4.9064704078505272E-3</v>
      </c>
      <c r="I31" s="47">
        <f t="shared" si="11"/>
        <v>2.4065040650406377E-2</v>
      </c>
      <c r="J31" s="47">
        <f t="shared" si="11"/>
        <v>2.9708222811670959E-2</v>
      </c>
      <c r="K31" s="47">
        <f t="shared" si="11"/>
        <v>1.8242122719734466E-2</v>
      </c>
      <c r="L31" s="47">
        <f t="shared" si="11"/>
        <v>9.9800399201597223E-3</v>
      </c>
      <c r="M31" s="44"/>
      <c r="N31" s="47">
        <f t="shared" si="12"/>
        <v>9.6153846153845812E-3</v>
      </c>
      <c r="O31" s="47">
        <f t="shared" si="12"/>
        <v>2.4625623960066401E-2</v>
      </c>
      <c r="P31" s="47">
        <f t="shared" si="12"/>
        <v>2.9818956336528091E-2</v>
      </c>
      <c r="Q31" s="47">
        <f t="shared" si="12"/>
        <v>2.2698612862547263E-2</v>
      </c>
      <c r="R31" s="47">
        <f t="shared" si="12"/>
        <v>5.8309037900874383E-3</v>
      </c>
      <c r="S31" s="44"/>
      <c r="T31" s="109">
        <f t="shared" si="5"/>
        <v>23</v>
      </c>
      <c r="U31" s="110">
        <f t="shared" si="6"/>
        <v>2037</v>
      </c>
      <c r="V31" s="326">
        <f>IF('General Data'!$H$24=1,'DOE Fuel Esc Rates'!C31,IF('General Data'!$H$24=2,'DOE Fuel Esc Rates'!H31,IF('General Data'!$H$24=3,'DOE Fuel Esc Rates'!N31,"")))</f>
        <v>4.9064704078505272E-3</v>
      </c>
      <c r="W31" s="327">
        <f t="shared" si="3"/>
        <v>1.8242122719734466E-2</v>
      </c>
      <c r="X31" s="70" t="str">
        <f>IF('General Data'!$H$24=1,IF('General Data'!$H$27=0,0,IF('General Data'!$H$27=1,E31,IF('General Data'!$H$27=2,F31,IF('General Data'!$H$27=3,D31,"error?")))),"")</f>
        <v/>
      </c>
      <c r="Y31" s="70">
        <f>IF('General Data'!$H$24=2,IF('General Data'!$H$27=0,0,IF('General Data'!$H$27=1,K31,IF('General Data'!$H$27=2,"error",IF('General Data'!$H$27=3,I31,IF('General Data'!$H$27=4,J31,IF('General Data'!$H$27=5,L31,"error?")))))),"")</f>
        <v>1.8242122719734466E-2</v>
      </c>
      <c r="Z31" s="70" t="str">
        <f>IF('General Data'!$H$24=3,IF('General Data'!$H$27=0,0,IF('General Data'!$H$27=1,Q31,IF('General Data'!$H$27=2,"error",IF('General Data'!$H$27=3,O31,IF('General Data'!$H$27=4,P31,IF('General Data'!$H$27=5,R31,"error?")))))),"")</f>
        <v/>
      </c>
      <c r="AA31" s="113">
        <f t="shared" si="7"/>
        <v>1.0347331859804234</v>
      </c>
      <c r="AB31" s="113">
        <f t="shared" si="8"/>
        <v>1.3828828828828836</v>
      </c>
    </row>
    <row r="32" spans="1:28" x14ac:dyDescent="0.2">
      <c r="A32" s="109">
        <f t="shared" si="4"/>
        <v>24</v>
      </c>
      <c r="B32" s="44"/>
      <c r="C32" s="47">
        <f t="shared" si="0"/>
        <v>5.8913934426230163E-3</v>
      </c>
      <c r="D32" s="47">
        <f t="shared" si="0"/>
        <v>2.301054650047929E-2</v>
      </c>
      <c r="E32" s="47">
        <f t="shared" si="0"/>
        <v>2.3909985935302469E-2</v>
      </c>
      <c r="F32" s="47">
        <f t="shared" si="0"/>
        <v>8.9753178758416041E-3</v>
      </c>
      <c r="G32" s="44"/>
      <c r="H32" s="47">
        <f t="shared" si="11"/>
        <v>4.8825144949649069E-3</v>
      </c>
      <c r="I32" s="47">
        <f t="shared" si="11"/>
        <v>2.2864401397268974E-2</v>
      </c>
      <c r="J32" s="47">
        <f t="shared" si="11"/>
        <v>4.4307058217413653E-2</v>
      </c>
      <c r="K32" s="47">
        <f t="shared" si="11"/>
        <v>2.6058631921824116E-2</v>
      </c>
      <c r="L32" s="47">
        <f t="shared" si="11"/>
        <v>1.5810276679841806E-2</v>
      </c>
      <c r="M32" s="44"/>
      <c r="N32" s="47">
        <f t="shared" si="12"/>
        <v>8.1632653061225469E-3</v>
      </c>
      <c r="O32" s="47">
        <f t="shared" si="12"/>
        <v>2.305943488145501E-2</v>
      </c>
      <c r="P32" s="47">
        <f t="shared" si="12"/>
        <v>4.4467425025853213E-2</v>
      </c>
      <c r="Q32" s="47">
        <f t="shared" si="12"/>
        <v>3.3292231812577233E-2</v>
      </c>
      <c r="R32" s="47">
        <f t="shared" si="12"/>
        <v>8.6956521739129933E-3</v>
      </c>
      <c r="S32" s="44"/>
      <c r="T32" s="109">
        <f t="shared" si="5"/>
        <v>24</v>
      </c>
      <c r="U32" s="110">
        <f t="shared" si="6"/>
        <v>2038</v>
      </c>
      <c r="V32" s="326">
        <f>IF('General Data'!$H$24=1,'DOE Fuel Esc Rates'!C32,IF('General Data'!$H$24=2,'DOE Fuel Esc Rates'!H32,IF('General Data'!$H$24=3,'DOE Fuel Esc Rates'!N32,"")))</f>
        <v>4.8825144949649069E-3</v>
      </c>
      <c r="W32" s="327">
        <f t="shared" si="3"/>
        <v>2.6058631921824116E-2</v>
      </c>
      <c r="X32" s="70" t="str">
        <f>IF('General Data'!$H$24=1,IF('General Data'!$H$27=0,0,IF('General Data'!$H$27=1,E32,IF('General Data'!$H$27=2,F32,IF('General Data'!$H$27=3,D32,"error?")))),"")</f>
        <v/>
      </c>
      <c r="Y32" s="70">
        <f>IF('General Data'!$H$24=2,IF('General Data'!$H$27=0,0,IF('General Data'!$H$27=1,K32,IF('General Data'!$H$27=2,"error",IF('General Data'!$H$27=3,I32,IF('General Data'!$H$27=4,J32,IF('General Data'!$H$27=5,L32,"error?")))))),"")</f>
        <v>2.6058631921824116E-2</v>
      </c>
      <c r="Z32" s="70" t="str">
        <f>IF('General Data'!$H$24=3,IF('General Data'!$H$27=0,0,IF('General Data'!$H$27=1,Q32,IF('General Data'!$H$27=2,"error",IF('General Data'!$H$27=3,O32,IF('General Data'!$H$27=4,P32,IF('General Data'!$H$27=5,R32,"error?")))))),"")</f>
        <v/>
      </c>
      <c r="AA32" s="113">
        <f t="shared" si="7"/>
        <v>1.0397852857593941</v>
      </c>
      <c r="AB32" s="113">
        <f t="shared" si="8"/>
        <v>1.4189189189189197</v>
      </c>
    </row>
    <row r="33" spans="1:28" x14ac:dyDescent="0.2">
      <c r="A33" s="109">
        <f t="shared" si="4"/>
        <v>25</v>
      </c>
      <c r="B33" s="44"/>
      <c r="C33" s="47">
        <f t="shared" si="0"/>
        <v>4.583651642475095E-3</v>
      </c>
      <c r="D33" s="47">
        <f t="shared" si="0"/>
        <v>2.2180568572321091E-2</v>
      </c>
      <c r="E33" s="47">
        <f t="shared" si="0"/>
        <v>2.2664835164835084E-2</v>
      </c>
      <c r="F33" s="47">
        <f t="shared" si="0"/>
        <v>1.0378057820607856E-2</v>
      </c>
      <c r="G33" s="44"/>
      <c r="H33" s="47">
        <f t="shared" si="11"/>
        <v>5.1624658366231646E-3</v>
      </c>
      <c r="I33" s="47">
        <f t="shared" si="11"/>
        <v>2.2042843837317694E-2</v>
      </c>
      <c r="J33" s="47">
        <f t="shared" si="11"/>
        <v>5.4760730143068592E-2</v>
      </c>
      <c r="K33" s="47">
        <f t="shared" si="11"/>
        <v>2.4603174603174738E-2</v>
      </c>
      <c r="L33" s="47">
        <f t="shared" si="11"/>
        <v>9.7276264591441564E-3</v>
      </c>
      <c r="M33" s="44"/>
      <c r="N33" s="47">
        <f t="shared" si="12"/>
        <v>7.1974808816914759E-3</v>
      </c>
      <c r="O33" s="47">
        <f t="shared" si="12"/>
        <v>2.2857142857142909E-2</v>
      </c>
      <c r="P33" s="47">
        <f t="shared" si="12"/>
        <v>5.4455445544554504E-2</v>
      </c>
      <c r="Q33" s="47">
        <f t="shared" si="12"/>
        <v>3.1026252983293423E-2</v>
      </c>
      <c r="R33" s="47">
        <f t="shared" si="12"/>
        <v>5.7471264367816577E-3</v>
      </c>
      <c r="S33" s="44"/>
      <c r="T33" s="109">
        <f t="shared" si="5"/>
        <v>25</v>
      </c>
      <c r="U33" s="110">
        <f t="shared" si="6"/>
        <v>2039</v>
      </c>
      <c r="V33" s="326">
        <f>IF('General Data'!$H$24=1,'DOE Fuel Esc Rates'!C33,IF('General Data'!$H$24=2,'DOE Fuel Esc Rates'!H33,IF('General Data'!$H$24=3,'DOE Fuel Esc Rates'!N33,"")))</f>
        <v>5.1624658366231646E-3</v>
      </c>
      <c r="W33" s="327">
        <f t="shared" si="3"/>
        <v>2.4603174603174738E-2</v>
      </c>
      <c r="X33" s="70" t="str">
        <f>IF('General Data'!$H$24=1,IF('General Data'!$H$27=0,0,IF('General Data'!$H$27=1,E33,IF('General Data'!$H$27=2,F33,IF('General Data'!$H$27=3,D33,"error?")))),"")</f>
        <v/>
      </c>
      <c r="Y33" s="70">
        <f>IF('General Data'!$H$24=2,IF('General Data'!$H$27=0,0,IF('General Data'!$H$27=1,K33,IF('General Data'!$H$27=2,"error",IF('General Data'!$H$27=3,I33,IF('General Data'!$H$27=4,J33,IF('General Data'!$H$27=5,L33,"error?")))))),"")</f>
        <v>2.4603174603174738E-2</v>
      </c>
      <c r="Z33" s="70" t="str">
        <f>IF('General Data'!$H$24=3,IF('General Data'!$H$27=0,0,IF('General Data'!$H$27=1,Q33,IF('General Data'!$H$27=2,"error",IF('General Data'!$H$27=3,O33,IF('General Data'!$H$27=4,P33,IF('General Data'!$H$27=5,R33,"error?")))))),"")</f>
        <v/>
      </c>
      <c r="AA33" s="113">
        <f t="shared" si="7"/>
        <v>1.0451531417745505</v>
      </c>
      <c r="AB33" s="113">
        <f t="shared" si="8"/>
        <v>1.4538288288288299</v>
      </c>
    </row>
    <row r="34" spans="1:28" s="106" customFormat="1" x14ac:dyDescent="0.2">
      <c r="A34" s="109">
        <f t="shared" si="4"/>
        <v>26</v>
      </c>
      <c r="C34" s="47">
        <f t="shared" si="0"/>
        <v>3.8022813688212143E-3</v>
      </c>
      <c r="D34" s="47">
        <f t="shared" si="0"/>
        <v>2.1393643031784926E-2</v>
      </c>
      <c r="E34" s="47">
        <f t="shared" si="0"/>
        <v>1.2760241773001946E-2</v>
      </c>
      <c r="F34" s="47">
        <f t="shared" si="0"/>
        <v>7.7035950110049267E-3</v>
      </c>
      <c r="H34" s="47">
        <f t="shared" si="11"/>
        <v>2.4169184290030454E-3</v>
      </c>
      <c r="I34" s="47">
        <f t="shared" si="11"/>
        <v>2.1263669501822458E-2</v>
      </c>
      <c r="J34" s="47">
        <f t="shared" si="11"/>
        <v>3.7885874649205009E-2</v>
      </c>
      <c r="K34" s="47">
        <f t="shared" si="11"/>
        <v>1.3942680092951187E-2</v>
      </c>
      <c r="L34" s="47">
        <f t="shared" si="11"/>
        <v>5.7803468208090791E-3</v>
      </c>
      <c r="N34" s="47">
        <f t="shared" si="12"/>
        <v>5.3595355069226969E-3</v>
      </c>
      <c r="O34" s="47">
        <f t="shared" si="12"/>
        <v>2.1725636250776059E-2</v>
      </c>
      <c r="P34" s="47">
        <f t="shared" si="12"/>
        <v>3.8497652582159647E-2</v>
      </c>
      <c r="Q34" s="47">
        <f t="shared" si="12"/>
        <v>2.0833333333333259E-2</v>
      </c>
      <c r="R34" s="47">
        <f t="shared" si="12"/>
        <v>8.5714285714284522E-3</v>
      </c>
      <c r="T34" s="109">
        <f t="shared" si="5"/>
        <v>26</v>
      </c>
      <c r="U34" s="110">
        <f t="shared" si="6"/>
        <v>2040</v>
      </c>
      <c r="V34" s="326">
        <f>IF('General Data'!$H$24=1,'DOE Fuel Esc Rates'!C34,IF('General Data'!$H$24=2,'DOE Fuel Esc Rates'!H34,IF('General Data'!$H$24=3,'DOE Fuel Esc Rates'!N34,"")))</f>
        <v>2.4169184290030454E-3</v>
      </c>
      <c r="W34" s="327">
        <f t="shared" si="3"/>
        <v>1.3942680092951187E-2</v>
      </c>
      <c r="X34" s="107" t="str">
        <f>IF('General Data'!$H$24=1,IF('General Data'!$H$27=0,0,IF('General Data'!$H$27=1,E34,IF('General Data'!$H$27=2,F34,IF('General Data'!$H$27=3,D34,"error?")))),"")</f>
        <v/>
      </c>
      <c r="Y34" s="107">
        <f>IF('General Data'!$H$24=2,IF('General Data'!$H$27=0,0,IF('General Data'!$H$27=1,K34,IF('General Data'!$H$27=2,"error",IF('General Data'!$H$27=3,I34,IF('General Data'!$H$27=4,J34,IF('General Data'!$H$27=5,L34,"error?")))))),"")</f>
        <v>1.3942680092951187E-2</v>
      </c>
      <c r="Z34" s="107" t="str">
        <f>IF('General Data'!$H$24=3,IF('General Data'!$H$27=0,0,IF('General Data'!$H$27=1,Q34,IF('General Data'!$H$27=2,"error",IF('General Data'!$H$27=3,O34,IF('General Data'!$H$27=4,P34,IF('General Data'!$H$27=5,R34,"error?")))))),"")</f>
        <v/>
      </c>
      <c r="AA34" s="113">
        <f t="shared" si="7"/>
        <v>1.0476791916640358</v>
      </c>
      <c r="AB34" s="113">
        <f t="shared" si="8"/>
        <v>1.4740990990991001</v>
      </c>
    </row>
    <row r="35" spans="1:28" s="106" customFormat="1" x14ac:dyDescent="0.2">
      <c r="A35" s="109">
        <f t="shared" si="4"/>
        <v>27</v>
      </c>
      <c r="C35" s="47">
        <f t="shared" si="0"/>
        <v>3.5353535353535026E-3</v>
      </c>
      <c r="D35" s="47">
        <f t="shared" si="0"/>
        <v>2.0945541591861128E-2</v>
      </c>
      <c r="E35" s="47">
        <f t="shared" si="0"/>
        <v>1.0610079575596787E-2</v>
      </c>
      <c r="F35" s="47">
        <f t="shared" si="0"/>
        <v>6.9166363305424028E-3</v>
      </c>
      <c r="H35" s="47">
        <f t="shared" si="11"/>
        <v>1.5069318866787196E-3</v>
      </c>
      <c r="I35" s="47">
        <f t="shared" si="11"/>
        <v>2.0820939916716297E-2</v>
      </c>
      <c r="J35" s="47">
        <f t="shared" si="11"/>
        <v>3.1545741324921162E-2</v>
      </c>
      <c r="K35" s="47">
        <f t="shared" si="11"/>
        <v>1.2223071046600475E-2</v>
      </c>
      <c r="L35" s="47">
        <f t="shared" si="11"/>
        <v>5.7471264367816577E-3</v>
      </c>
      <c r="N35" s="47">
        <f t="shared" si="12"/>
        <v>4.8867170146600358E-3</v>
      </c>
      <c r="O35" s="47">
        <f t="shared" si="12"/>
        <v>2.1263669501822458E-2</v>
      </c>
      <c r="P35" s="47">
        <f t="shared" si="12"/>
        <v>3.1645569620253111E-2</v>
      </c>
      <c r="Q35" s="47">
        <f t="shared" si="12"/>
        <v>1.7006802721088565E-2</v>
      </c>
      <c r="R35" s="47">
        <f t="shared" si="12"/>
        <v>1.1331444759206777E-2</v>
      </c>
      <c r="T35" s="109">
        <f t="shared" si="5"/>
        <v>27</v>
      </c>
      <c r="U35" s="110">
        <f t="shared" si="6"/>
        <v>2041</v>
      </c>
      <c r="V35" s="326">
        <f>IF('General Data'!$H$24=1,'DOE Fuel Esc Rates'!C35,IF('General Data'!$H$24=2,'DOE Fuel Esc Rates'!H35,IF('General Data'!$H$24=3,'DOE Fuel Esc Rates'!N35,"")))</f>
        <v>1.5069318866787196E-3</v>
      </c>
      <c r="W35" s="327">
        <f t="shared" si="3"/>
        <v>1.2223071046600475E-2</v>
      </c>
      <c r="X35" s="107" t="str">
        <f>IF('General Data'!$H$24=1,IF('General Data'!$H$27=0,0,IF('General Data'!$H$27=1,E35,IF('General Data'!$H$27=2,F35,IF('General Data'!$H$27=3,D35,"error?")))),"")</f>
        <v/>
      </c>
      <c r="Y35" s="107">
        <f>IF('General Data'!$H$24=2,IF('General Data'!$H$27=0,0,IF('General Data'!$H$27=1,K35,IF('General Data'!$H$27=2,"error",IF('General Data'!$H$27=3,I35,IF('General Data'!$H$27=4,J35,IF('General Data'!$H$27=5,L35,"error?")))))),"")</f>
        <v>1.2223071046600475E-2</v>
      </c>
      <c r="Z35" s="107" t="str">
        <f>IF('General Data'!$H$24=3,IF('General Data'!$H$27=0,0,IF('General Data'!$H$27=1,Q35,IF('General Data'!$H$27=2,"error",IF('General Data'!$H$27=3,O35,IF('General Data'!$H$27=4,P35,IF('General Data'!$H$27=5,R35,"error?")))))),"")</f>
        <v/>
      </c>
      <c r="AA35" s="113">
        <f t="shared" si="7"/>
        <v>1.049257972844964</v>
      </c>
      <c r="AB35" s="113">
        <f t="shared" si="8"/>
        <v>1.4921171171171181</v>
      </c>
    </row>
    <row r="36" spans="1:28" s="106" customFormat="1" x14ac:dyDescent="0.2">
      <c r="A36" s="109">
        <f t="shared" si="4"/>
        <v>28</v>
      </c>
      <c r="C36" s="47">
        <f t="shared" si="0"/>
        <v>3.5228988424760299E-3</v>
      </c>
      <c r="D36" s="47">
        <f t="shared" si="0"/>
        <v>2.1395076201641494E-2</v>
      </c>
      <c r="E36" s="47">
        <f t="shared" si="0"/>
        <v>9.8425196850393526E-3</v>
      </c>
      <c r="F36" s="47">
        <f t="shared" si="0"/>
        <v>6.8691250903831769E-3</v>
      </c>
      <c r="H36" s="47">
        <f t="shared" si="11"/>
        <v>1.5046644598255554E-3</v>
      </c>
      <c r="I36" s="47">
        <f t="shared" si="11"/>
        <v>2.1270396270396175E-2</v>
      </c>
      <c r="J36" s="47">
        <f t="shared" si="11"/>
        <v>3.1891655744866743E-2</v>
      </c>
      <c r="K36" s="47">
        <f t="shared" si="11"/>
        <v>1.2075471698113294E-2</v>
      </c>
      <c r="L36" s="47">
        <f t="shared" si="11"/>
        <v>7.6190476190476364E-3</v>
      </c>
      <c r="N36" s="47">
        <f t="shared" si="12"/>
        <v>4.8629531388151293E-3</v>
      </c>
      <c r="O36" s="47">
        <f t="shared" si="12"/>
        <v>2.1713265913147151E-2</v>
      </c>
      <c r="P36" s="47">
        <f t="shared" si="12"/>
        <v>3.1989482909728251E-2</v>
      </c>
      <c r="Q36" s="47">
        <f t="shared" si="12"/>
        <v>1.7837235228539638E-2</v>
      </c>
      <c r="R36" s="47">
        <f t="shared" si="12"/>
        <v>8.4033613445377853E-3</v>
      </c>
      <c r="T36" s="109">
        <f t="shared" si="5"/>
        <v>28</v>
      </c>
      <c r="U36" s="110">
        <f t="shared" si="6"/>
        <v>2042</v>
      </c>
      <c r="V36" s="326">
        <f>IF('General Data'!$H$24=1,'DOE Fuel Esc Rates'!C36,IF('General Data'!$H$24=2,'DOE Fuel Esc Rates'!H36,IF('General Data'!$H$24=3,'DOE Fuel Esc Rates'!N36,"")))</f>
        <v>1.5046644598255554E-3</v>
      </c>
      <c r="W36" s="327">
        <f t="shared" si="3"/>
        <v>1.2075471698113294E-2</v>
      </c>
      <c r="X36" s="107" t="str">
        <f>IF('General Data'!$H$24=1,IF('General Data'!$H$27=0,0,IF('General Data'!$H$27=1,E36,IF('General Data'!$H$27=2,F36,IF('General Data'!$H$27=3,D36,"error?")))),"")</f>
        <v/>
      </c>
      <c r="Y36" s="107">
        <f>IF('General Data'!$H$24=2,IF('General Data'!$H$27=0,0,IF('General Data'!$H$27=1,K36,IF('General Data'!$H$27=2,"error",IF('General Data'!$H$27=3,I36,IF('General Data'!$H$27=4,J36,IF('General Data'!$H$27=5,L36,"error?")))))),"")</f>
        <v>1.2075471698113294E-2</v>
      </c>
      <c r="Z36" s="107" t="str">
        <f>IF('General Data'!$H$24=3,IF('General Data'!$H$27=0,0,IF('General Data'!$H$27=1,Q36,IF('General Data'!$H$27=2,"error",IF('General Data'!$H$27=3,O36,IF('General Data'!$H$27=4,P36,IF('General Data'!$H$27=5,R36,"error?")))))),"")</f>
        <v/>
      </c>
      <c r="AA36" s="113">
        <f t="shared" si="7"/>
        <v>1.0508367540258925</v>
      </c>
      <c r="AB36" s="113">
        <f t="shared" si="8"/>
        <v>1.5101351351351362</v>
      </c>
    </row>
    <row r="37" spans="1:28" s="106" customFormat="1" x14ac:dyDescent="0.2">
      <c r="A37" s="109">
        <f t="shared" si="4"/>
        <v>29</v>
      </c>
      <c r="C37" s="47">
        <f t="shared" si="0"/>
        <v>3.5105315947843163E-3</v>
      </c>
      <c r="D37" s="47">
        <f t="shared" si="0"/>
        <v>2.1233859397417509E-2</v>
      </c>
      <c r="E37" s="47">
        <f t="shared" si="0"/>
        <v>1.1046133853151341E-2</v>
      </c>
      <c r="F37" s="47">
        <f t="shared" si="0"/>
        <v>6.8222621184919063E-3</v>
      </c>
      <c r="H37" s="47">
        <f t="shared" si="11"/>
        <v>1.8028846153845812E-3</v>
      </c>
      <c r="I37" s="47">
        <f t="shared" si="11"/>
        <v>2.1398002853067144E-2</v>
      </c>
      <c r="J37" s="47">
        <f t="shared" si="11"/>
        <v>3.1752751905165022E-2</v>
      </c>
      <c r="K37" s="47">
        <f t="shared" si="11"/>
        <v>1.1931394481730084E-2</v>
      </c>
      <c r="L37" s="47">
        <f t="shared" si="11"/>
        <v>5.6710775047259521E-3</v>
      </c>
      <c r="N37" s="47">
        <f t="shared" si="12"/>
        <v>4.8394192696876726E-3</v>
      </c>
      <c r="O37" s="47">
        <f t="shared" si="12"/>
        <v>2.1834061135371119E-2</v>
      </c>
      <c r="P37" s="47">
        <f t="shared" si="12"/>
        <v>3.1422505307855619E-2</v>
      </c>
      <c r="Q37" s="47">
        <f t="shared" si="12"/>
        <v>1.7524644030668002E-2</v>
      </c>
      <c r="R37" s="47">
        <f t="shared" si="12"/>
        <v>1.1111111111111072E-2</v>
      </c>
      <c r="T37" s="109">
        <f t="shared" si="5"/>
        <v>29</v>
      </c>
      <c r="U37" s="110">
        <f t="shared" si="6"/>
        <v>2043</v>
      </c>
      <c r="V37" s="326">
        <f>IF('General Data'!$H$24=1,'DOE Fuel Esc Rates'!C37,IF('General Data'!$H$24=2,'DOE Fuel Esc Rates'!H37,IF('General Data'!$H$24=3,'DOE Fuel Esc Rates'!N37,"")))</f>
        <v>1.8028846153845812E-3</v>
      </c>
      <c r="W37" s="327">
        <f t="shared" si="3"/>
        <v>1.1931394481730084E-2</v>
      </c>
      <c r="X37" s="107" t="str">
        <f>IF('General Data'!$H$24=1,IF('General Data'!$H$27=0,0,IF('General Data'!$H$27=1,E37,IF('General Data'!$H$27=2,F37,IF('General Data'!$H$27=3,D37,"error?")))),"")</f>
        <v/>
      </c>
      <c r="Y37" s="107">
        <f>IF('General Data'!$H$24=2,IF('General Data'!$H$27=0,0,IF('General Data'!$H$27=1,K37,IF('General Data'!$H$27=2,"error",IF('General Data'!$H$27=3,I37,IF('General Data'!$H$27=4,J37,IF('General Data'!$H$27=5,L37,"error?")))))),"")</f>
        <v>1.1931394481730084E-2</v>
      </c>
      <c r="Z37" s="107" t="str">
        <f>IF('General Data'!$H$24=3,IF('General Data'!$H$27=0,0,IF('General Data'!$H$27=1,Q37,IF('General Data'!$H$27=2,"error",IF('General Data'!$H$27=3,O37,IF('General Data'!$H$27=4,P37,IF('General Data'!$H$27=5,R37,"error?")))))),"")</f>
        <v/>
      </c>
      <c r="AA37" s="113">
        <f t="shared" si="7"/>
        <v>1.0527312914430065</v>
      </c>
      <c r="AB37" s="113">
        <f t="shared" si="8"/>
        <v>1.5281531531531543</v>
      </c>
    </row>
    <row r="38" spans="1:28" s="106" customFormat="1" ht="13.5" thickBot="1" x14ac:dyDescent="0.25">
      <c r="A38" s="109">
        <f t="shared" si="4"/>
        <v>30</v>
      </c>
      <c r="C38" s="47">
        <f t="shared" si="0"/>
        <v>3.4982508745624585E-3</v>
      </c>
      <c r="D38" s="47">
        <f t="shared" si="0"/>
        <v>2.1635290812025643E-2</v>
      </c>
      <c r="E38" s="47">
        <f t="shared" si="0"/>
        <v>1.0282776349614497E-2</v>
      </c>
      <c r="F38" s="47">
        <f t="shared" si="0"/>
        <v>6.7760342368046178E-3</v>
      </c>
      <c r="H38" s="47">
        <f t="shared" si="11"/>
        <v>1.4997000599878962E-3</v>
      </c>
      <c r="I38" s="47">
        <f t="shared" si="11"/>
        <v>2.1508379888268259E-2</v>
      </c>
      <c r="J38" s="47">
        <f t="shared" si="11"/>
        <v>3.1596224866639266E-2</v>
      </c>
      <c r="K38" s="47">
        <f t="shared" si="11"/>
        <v>1.179071481208549E-2</v>
      </c>
      <c r="L38" s="47">
        <f t="shared" si="11"/>
        <v>7.5187969924812581E-3</v>
      </c>
      <c r="N38" s="47">
        <f t="shared" si="12"/>
        <v>5.2539404553415547E-3</v>
      </c>
      <c r="O38" s="47">
        <f t="shared" si="12"/>
        <v>2.1937321937321785E-2</v>
      </c>
      <c r="P38" s="47">
        <f t="shared" si="12"/>
        <v>3.170028818443793E-2</v>
      </c>
      <c r="Q38" s="47">
        <f t="shared" si="12"/>
        <v>1.7222820236813874E-2</v>
      </c>
      <c r="R38" s="47">
        <f t="shared" si="12"/>
        <v>8.2417582417582125E-3</v>
      </c>
      <c r="T38" s="109">
        <f t="shared" si="5"/>
        <v>30</v>
      </c>
      <c r="U38" s="110">
        <f t="shared" si="6"/>
        <v>2044</v>
      </c>
      <c r="V38" s="328">
        <f>IF('General Data'!$H$24=1,'DOE Fuel Esc Rates'!C38,IF('General Data'!$H$24=2,'DOE Fuel Esc Rates'!H38,IF('General Data'!$H$24=3,'DOE Fuel Esc Rates'!N38,"")))</f>
        <v>1.4997000599878962E-3</v>
      </c>
      <c r="W38" s="329">
        <f t="shared" si="3"/>
        <v>1.179071481208549E-2</v>
      </c>
      <c r="X38" s="107" t="str">
        <f>IF('General Data'!$H$24=1,IF('General Data'!$H$27=0,0,IF('General Data'!$H$27=1,E38,IF('General Data'!$H$27=2,F38,IF('General Data'!$H$27=3,D38,"error?")))),"")</f>
        <v/>
      </c>
      <c r="Y38" s="107">
        <f>IF('General Data'!$H$24=2,IF('General Data'!$H$27=0,0,IF('General Data'!$H$27=1,K38,IF('General Data'!$H$27=2,"error",IF('General Data'!$H$27=3,I38,IF('General Data'!$H$27=4,J38,IF('General Data'!$H$27=5,L38,"error?")))))),"")</f>
        <v>1.179071481208549E-2</v>
      </c>
      <c r="Z38" s="107" t="str">
        <f>IF('General Data'!$H$24=3,IF('General Data'!$H$27=0,0,IF('General Data'!$H$27=1,Q38,IF('General Data'!$H$27=2,"error",IF('General Data'!$H$27=3,O38,IF('General Data'!$H$27=4,P38,IF('General Data'!$H$27=5,R38,"error?")))))),"")</f>
        <v/>
      </c>
      <c r="AA38" s="113">
        <f t="shared" si="7"/>
        <v>1.0543100726239347</v>
      </c>
      <c r="AB38" s="113">
        <f t="shared" si="8"/>
        <v>1.5461711711711723</v>
      </c>
    </row>
    <row r="40" spans="1:28" ht="15.75" x14ac:dyDescent="0.25">
      <c r="A40" s="31" t="s">
        <v>249</v>
      </c>
      <c r="B40" s="4"/>
      <c r="C40" s="4"/>
      <c r="D40" s="4"/>
      <c r="E40" s="4"/>
      <c r="F40" s="4"/>
      <c r="G40" s="4"/>
      <c r="H40" s="4"/>
      <c r="I40" s="4"/>
      <c r="J40" s="4"/>
      <c r="K40" s="4"/>
      <c r="L40" s="4"/>
      <c r="M40" s="4"/>
      <c r="N40" s="4"/>
      <c r="O40" s="4"/>
      <c r="P40" s="4"/>
      <c r="Q40" s="4"/>
      <c r="R40" s="4"/>
      <c r="S40" s="4"/>
      <c r="T40" s="31"/>
    </row>
    <row r="41" spans="1:28" ht="15.75" x14ac:dyDescent="0.25">
      <c r="A41" s="31" t="s">
        <v>109</v>
      </c>
      <c r="B41" s="4"/>
      <c r="C41" s="4"/>
      <c r="D41" s="4"/>
      <c r="E41" s="4"/>
      <c r="F41" s="4"/>
      <c r="G41" s="4"/>
      <c r="H41" s="4"/>
      <c r="I41" s="4"/>
      <c r="J41" s="4"/>
      <c r="K41" s="4"/>
      <c r="L41" s="4"/>
      <c r="M41" s="4"/>
      <c r="N41" s="4"/>
      <c r="O41" s="4"/>
      <c r="P41" s="4"/>
      <c r="Q41" s="4"/>
      <c r="R41" s="4"/>
      <c r="S41" s="4"/>
      <c r="T41" s="31"/>
    </row>
    <row r="42" spans="1:28" ht="15.75" x14ac:dyDescent="0.25">
      <c r="A42" s="31" t="s">
        <v>110</v>
      </c>
      <c r="B42" s="4"/>
      <c r="C42" s="4"/>
      <c r="D42" s="4"/>
      <c r="E42" s="4"/>
      <c r="F42" s="4"/>
      <c r="G42" s="4"/>
      <c r="H42" s="4"/>
      <c r="I42" s="4"/>
      <c r="J42" s="4"/>
      <c r="K42" s="4"/>
      <c r="L42" s="4"/>
      <c r="M42" s="4"/>
      <c r="N42" s="4"/>
      <c r="O42" s="4"/>
      <c r="P42" s="4"/>
      <c r="Q42" s="4"/>
      <c r="R42" s="4"/>
      <c r="S42" s="4"/>
      <c r="T42" s="4"/>
    </row>
    <row r="43" spans="1:28" ht="7.5" customHeight="1" x14ac:dyDescent="0.25">
      <c r="A43" s="30"/>
      <c r="C43"/>
      <c r="T43"/>
    </row>
    <row r="44" spans="1:28" x14ac:dyDescent="0.2">
      <c r="C44" s="25" t="s">
        <v>122</v>
      </c>
      <c r="D44" s="25"/>
      <c r="E44" s="25"/>
      <c r="F44" s="25"/>
      <c r="H44" s="25" t="s">
        <v>123</v>
      </c>
      <c r="I44" s="25"/>
      <c r="J44" s="25"/>
      <c r="K44" s="25"/>
      <c r="L44" s="4"/>
      <c r="N44" s="25" t="s">
        <v>124</v>
      </c>
      <c r="O44" s="25"/>
      <c r="P44" s="25"/>
      <c r="Q44" s="25"/>
      <c r="R44" s="4"/>
    </row>
    <row r="45" spans="1:28" x14ac:dyDescent="0.2">
      <c r="A45" s="1" t="s">
        <v>41</v>
      </c>
      <c r="C45" s="1" t="s">
        <v>32</v>
      </c>
      <c r="D45" s="1" t="s">
        <v>125</v>
      </c>
      <c r="E45" s="1" t="s">
        <v>33</v>
      </c>
      <c r="F45" s="1" t="s">
        <v>126</v>
      </c>
      <c r="H45" s="1" t="s">
        <v>32</v>
      </c>
      <c r="I45" s="1" t="s">
        <v>125</v>
      </c>
      <c r="J45" s="1" t="s">
        <v>127</v>
      </c>
      <c r="K45" s="1" t="s">
        <v>33</v>
      </c>
      <c r="L45" s="1" t="s">
        <v>128</v>
      </c>
      <c r="N45" s="1" t="s">
        <v>32</v>
      </c>
      <c r="O45" s="1" t="s">
        <v>125</v>
      </c>
      <c r="P45" s="1" t="s">
        <v>127</v>
      </c>
      <c r="Q45" s="1" t="s">
        <v>33</v>
      </c>
      <c r="R45" s="1" t="s">
        <v>128</v>
      </c>
      <c r="T45" s="1" t="s">
        <v>41</v>
      </c>
    </row>
    <row r="46" spans="1:28" x14ac:dyDescent="0.2">
      <c r="A46" s="1">
        <v>1</v>
      </c>
      <c r="C46" s="38">
        <v>-6.6152149944873617E-3</v>
      </c>
      <c r="D46" s="38">
        <v>-1.6144814090019666E-2</v>
      </c>
      <c r="E46" s="38">
        <v>2.1052631578946102E-3</v>
      </c>
      <c r="F46" s="38">
        <v>7.5187969924812581E-3</v>
      </c>
      <c r="H46" s="38">
        <v>-1.4823261117445696E-2</v>
      </c>
      <c r="I46" s="38">
        <v>-1.6624685138539097E-2</v>
      </c>
      <c r="J46" s="38">
        <v>8.3969465648856545E-3</v>
      </c>
      <c r="K46" s="38">
        <v>1.9005847953216248E-2</v>
      </c>
      <c r="L46" s="38">
        <v>6.482982171799101E-3</v>
      </c>
      <c r="N46" s="38">
        <v>-4.2487046632124326E-2</v>
      </c>
      <c r="O46" s="38">
        <v>-1.5717092337917515E-2</v>
      </c>
      <c r="P46" s="38">
        <v>9.3167701863352548E-3</v>
      </c>
      <c r="Q46" s="38">
        <v>1.939058171745156E-2</v>
      </c>
      <c r="R46" s="38">
        <v>0</v>
      </c>
      <c r="T46" s="1">
        <v>1</v>
      </c>
    </row>
    <row r="47" spans="1:28" x14ac:dyDescent="0.2">
      <c r="A47" s="1">
        <v>2</v>
      </c>
      <c r="C47" s="38">
        <v>1.1098779134295356E-3</v>
      </c>
      <c r="D47" s="38">
        <v>4.326205867727495E-2</v>
      </c>
      <c r="E47" s="38">
        <v>5.6722689075630273E-2</v>
      </c>
      <c r="F47" s="38">
        <v>2.6708562450903361E-2</v>
      </c>
      <c r="H47" s="38">
        <v>-2.0254629629630205E-3</v>
      </c>
      <c r="I47" s="38">
        <v>2.3565573770491843E-2</v>
      </c>
      <c r="J47" s="38">
        <v>4.7691143073429032E-2</v>
      </c>
      <c r="K47" s="38">
        <v>6.1692969870875247E-2</v>
      </c>
      <c r="L47" s="38">
        <v>1.449275362318847E-2</v>
      </c>
      <c r="N47" s="38">
        <v>-1.370851370851367E-2</v>
      </c>
      <c r="O47" s="38">
        <v>4.7904191616766401E-2</v>
      </c>
      <c r="P47" s="38">
        <v>6.3846153846153886E-2</v>
      </c>
      <c r="Q47" s="38">
        <v>0.18206521739130421</v>
      </c>
      <c r="R47" s="38">
        <v>3.0120481927711218E-3</v>
      </c>
      <c r="T47" s="1">
        <v>2</v>
      </c>
    </row>
    <row r="48" spans="1:28" x14ac:dyDescent="0.2">
      <c r="A48" s="1">
        <v>3</v>
      </c>
      <c r="C48" s="38">
        <v>1.6407982261640752E-2</v>
      </c>
      <c r="D48" s="38">
        <v>7.1496663489036827E-3</v>
      </c>
      <c r="E48" s="38">
        <v>5.2683896620278281E-2</v>
      </c>
      <c r="F48" s="38">
        <v>9.5638867635807756E-3</v>
      </c>
      <c r="H48" s="38">
        <v>1.1597564511452552E-2</v>
      </c>
      <c r="I48" s="38">
        <v>2.5025025025025016E-3</v>
      </c>
      <c r="J48" s="38">
        <v>2.1676300578035157E-3</v>
      </c>
      <c r="K48" s="38">
        <v>4.4594594594594694E-2</v>
      </c>
      <c r="L48" s="38">
        <v>6.3492063492063266E-3</v>
      </c>
      <c r="N48" s="38">
        <v>9.1441111923920015E-3</v>
      </c>
      <c r="O48" s="38">
        <v>1.0476190476190528E-2</v>
      </c>
      <c r="P48" s="38">
        <v>7.2306579898770984E-3</v>
      </c>
      <c r="Q48" s="38">
        <v>0.15632183908045993</v>
      </c>
      <c r="R48" s="38">
        <v>0</v>
      </c>
      <c r="T48" s="1">
        <v>3</v>
      </c>
    </row>
    <row r="49" spans="1:20" x14ac:dyDescent="0.2">
      <c r="A49" s="1">
        <v>4</v>
      </c>
      <c r="C49" s="38">
        <v>3.4249563699825236E-2</v>
      </c>
      <c r="D49" s="38">
        <v>9.4652153336487466E-3</v>
      </c>
      <c r="E49" s="38">
        <v>6.5155807365439022E-2</v>
      </c>
      <c r="F49" s="38">
        <v>7.1996968548690976E-3</v>
      </c>
      <c r="H49" s="38">
        <v>3.7259959873889192E-2</v>
      </c>
      <c r="I49" s="38">
        <v>1.0983524712930626E-2</v>
      </c>
      <c r="J49" s="38">
        <v>1.4419610670511895E-2</v>
      </c>
      <c r="K49" s="38">
        <v>7.5032341526520163E-2</v>
      </c>
      <c r="L49" s="38">
        <v>4.7318611987381409E-3</v>
      </c>
      <c r="N49" s="38">
        <v>3.008336353751373E-2</v>
      </c>
      <c r="O49" s="38">
        <v>1.1310084825636224E-2</v>
      </c>
      <c r="P49" s="38">
        <v>1.4357501794687755E-2</v>
      </c>
      <c r="Q49" s="38">
        <v>0.12723658051689846</v>
      </c>
      <c r="R49" s="38">
        <v>6.0060060060060927E-3</v>
      </c>
      <c r="T49" s="1">
        <v>4</v>
      </c>
    </row>
    <row r="50" spans="1:20" x14ac:dyDescent="0.2">
      <c r="A50" s="1">
        <v>5</v>
      </c>
      <c r="C50" s="38">
        <v>3.9654081417422438E-2</v>
      </c>
      <c r="D50" s="38">
        <v>1.2189404594467934E-2</v>
      </c>
      <c r="E50" s="38">
        <v>5.4078014184397283E-2</v>
      </c>
      <c r="F50" s="38">
        <v>4.5146726862301811E-3</v>
      </c>
      <c r="H50" s="38">
        <v>3.8961038961039085E-2</v>
      </c>
      <c r="I50" s="38">
        <v>1.4320987654320882E-2</v>
      </c>
      <c r="J50" s="38">
        <v>1.8479033404406486E-2</v>
      </c>
      <c r="K50" s="38">
        <v>6.6185318892900025E-2</v>
      </c>
      <c r="L50" s="38">
        <v>1.2558869701726927E-2</v>
      </c>
      <c r="N50" s="38">
        <v>3.8353272343420119E-2</v>
      </c>
      <c r="O50" s="38">
        <v>1.4445479962721386E-2</v>
      </c>
      <c r="P50" s="38">
        <v>1.840056617126673E-2</v>
      </c>
      <c r="Q50" s="38">
        <v>8.8183421516754956E-2</v>
      </c>
      <c r="R50" s="38">
        <v>1.4925373134328401E-2</v>
      </c>
      <c r="T50" s="1">
        <v>5</v>
      </c>
    </row>
    <row r="51" spans="1:20" x14ac:dyDescent="0.2">
      <c r="A51" s="1">
        <v>6</v>
      </c>
      <c r="C51" s="38">
        <v>3.9561777236762019E-2</v>
      </c>
      <c r="D51" s="38">
        <v>1.6211208893005979E-2</v>
      </c>
      <c r="E51" s="38">
        <v>4.3734230445752642E-2</v>
      </c>
      <c r="F51" s="38">
        <v>3.7453183520599342E-3</v>
      </c>
      <c r="H51" s="38">
        <v>4.1223404255319007E-2</v>
      </c>
      <c r="I51" s="38">
        <v>1.7526777020447915E-2</v>
      </c>
      <c r="J51" s="38">
        <v>2.2330774598743997E-2</v>
      </c>
      <c r="K51" s="38">
        <v>5.0790067720090315E-2</v>
      </c>
      <c r="L51" s="38">
        <v>1.0852713178294504E-2</v>
      </c>
      <c r="N51" s="38">
        <v>4.4052863436123246E-2</v>
      </c>
      <c r="O51" s="38">
        <v>1.7455213596692554E-2</v>
      </c>
      <c r="P51" s="38">
        <v>2.1542738012508611E-2</v>
      </c>
      <c r="Q51" s="38">
        <v>6.6450567260940119E-2</v>
      </c>
      <c r="R51" s="38">
        <v>1.7647058823529349E-2</v>
      </c>
      <c r="T51" s="1">
        <v>6</v>
      </c>
    </row>
    <row r="52" spans="1:20" x14ac:dyDescent="0.2">
      <c r="A52" s="1">
        <v>7</v>
      </c>
      <c r="C52" s="38">
        <v>2.4199843871974824E-2</v>
      </c>
      <c r="D52" s="38">
        <v>1.8687329079307258E-2</v>
      </c>
      <c r="E52" s="38">
        <v>2.98146655922642E-2</v>
      </c>
      <c r="F52" s="38">
        <v>4.104477611940327E-3</v>
      </c>
      <c r="H52" s="38">
        <v>2.4776500638569621E-2</v>
      </c>
      <c r="I52" s="38">
        <v>2.2488038277512112E-2</v>
      </c>
      <c r="J52" s="38">
        <v>2.3208191126279809E-2</v>
      </c>
      <c r="K52" s="38">
        <v>3.5445757250268439E-2</v>
      </c>
      <c r="L52" s="38">
        <v>3.0674846625766694E-3</v>
      </c>
      <c r="N52" s="38">
        <v>2.6290165530671983E-2</v>
      </c>
      <c r="O52" s="38">
        <v>2.3476297968397342E-2</v>
      </c>
      <c r="P52" s="38">
        <v>2.3809523809523947E-2</v>
      </c>
      <c r="Q52" s="38">
        <v>4.5592705167173175E-2</v>
      </c>
      <c r="R52" s="38">
        <v>1.4450867052023142E-2</v>
      </c>
      <c r="T52" s="1">
        <v>7</v>
      </c>
    </row>
    <row r="53" spans="1:20" x14ac:dyDescent="0.2">
      <c r="A53" s="1">
        <v>8</v>
      </c>
      <c r="C53" s="38">
        <v>1.7911585365853799E-2</v>
      </c>
      <c r="D53" s="38">
        <v>1.9239373601789733E-2</v>
      </c>
      <c r="E53" s="38">
        <v>2.4256651017214415E-2</v>
      </c>
      <c r="F53" s="38">
        <v>5.9457450761799535E-3</v>
      </c>
      <c r="H53" s="38">
        <v>1.8444666001994126E-2</v>
      </c>
      <c r="I53" s="38">
        <v>2.1057557323350462E-2</v>
      </c>
      <c r="J53" s="38">
        <v>2.4016010673782562E-2</v>
      </c>
      <c r="K53" s="38">
        <v>2.6970954356846377E-2</v>
      </c>
      <c r="L53" s="38">
        <v>3.0581039755350758E-3</v>
      </c>
      <c r="N53" s="38">
        <v>1.8975332068311035E-2</v>
      </c>
      <c r="O53" s="38">
        <v>2.0291133656815008E-2</v>
      </c>
      <c r="P53" s="38">
        <v>2.392026578073092E-2</v>
      </c>
      <c r="Q53" s="38">
        <v>3.6337209302325535E-2</v>
      </c>
      <c r="R53" s="38">
        <v>5.6980056980056037E-3</v>
      </c>
      <c r="T53" s="1">
        <v>8</v>
      </c>
    </row>
    <row r="54" spans="1:20" x14ac:dyDescent="0.2">
      <c r="A54" s="1">
        <v>9</v>
      </c>
      <c r="C54" s="38">
        <v>1.1418944215649596E-2</v>
      </c>
      <c r="D54" s="38">
        <v>1.9315188762071944E-2</v>
      </c>
      <c r="E54" s="38">
        <v>2.0626432391138261E-2</v>
      </c>
      <c r="F54" s="38">
        <v>5.5411895086812102E-3</v>
      </c>
      <c r="H54" s="38">
        <v>1.0279001468428861E-2</v>
      </c>
      <c r="I54" s="38">
        <v>2.062328139321723E-2</v>
      </c>
      <c r="J54" s="38">
        <v>2.4104234527687396E-2</v>
      </c>
      <c r="K54" s="38">
        <v>2.2222222222222143E-2</v>
      </c>
      <c r="L54" s="38">
        <v>0</v>
      </c>
      <c r="N54" s="38">
        <v>1.0552451893234061E-2</v>
      </c>
      <c r="O54" s="38">
        <v>1.9455252918287869E-2</v>
      </c>
      <c r="P54" s="38">
        <v>2.4010382868267399E-2</v>
      </c>
      <c r="Q54" s="38">
        <v>3.0855539971949453E-2</v>
      </c>
      <c r="R54" s="38">
        <v>2.8328611898018607E-3</v>
      </c>
      <c r="T54" s="1">
        <v>9</v>
      </c>
    </row>
    <row r="55" spans="1:20" x14ac:dyDescent="0.2">
      <c r="A55" s="1">
        <v>10</v>
      </c>
      <c r="C55" s="38">
        <v>1.6472330186933171E-2</v>
      </c>
      <c r="D55" s="38">
        <v>1.9379844961240345E-2</v>
      </c>
      <c r="E55" s="38">
        <v>1.7215568862275488E-2</v>
      </c>
      <c r="F55" s="38">
        <v>5.5106539309333069E-3</v>
      </c>
      <c r="H55" s="38">
        <v>1.5746124031007724E-2</v>
      </c>
      <c r="I55" s="38">
        <v>2.0655590480467056E-2</v>
      </c>
      <c r="J55" s="38">
        <v>2.3536895674300284E-2</v>
      </c>
      <c r="K55" s="38">
        <v>1.9762845849802479E-2</v>
      </c>
      <c r="L55" s="38">
        <v>1.5243902439026069E-3</v>
      </c>
      <c r="N55" s="38">
        <v>1.4127764127764175E-2</v>
      </c>
      <c r="O55" s="38">
        <v>1.9508057675996726E-2</v>
      </c>
      <c r="P55" s="38">
        <v>2.3447401774397969E-2</v>
      </c>
      <c r="Q55" s="38">
        <v>2.857142857142847E-2</v>
      </c>
      <c r="R55" s="38">
        <v>5.6497175141243527E-3</v>
      </c>
      <c r="T55" s="1">
        <v>10</v>
      </c>
    </row>
    <row r="56" spans="1:20" x14ac:dyDescent="0.2">
      <c r="A56" s="1">
        <v>11</v>
      </c>
      <c r="C56" s="38">
        <v>1.0014566642388978E-2</v>
      </c>
      <c r="D56" s="38">
        <v>2.0701309674693746E-2</v>
      </c>
      <c r="E56" s="38">
        <v>7.3583517292126199E-3</v>
      </c>
      <c r="F56" s="38">
        <v>6.9419071976615232E-3</v>
      </c>
      <c r="H56" s="38">
        <v>7.6317672310994844E-3</v>
      </c>
      <c r="I56" s="38">
        <v>2.1557413110426582E-2</v>
      </c>
      <c r="J56" s="38">
        <v>2.4860161591050201E-2</v>
      </c>
      <c r="K56" s="38">
        <v>4.8449612403098641E-3</v>
      </c>
      <c r="L56" s="38">
        <v>3.0441400304412891E-3</v>
      </c>
      <c r="N56" s="38">
        <v>8.4797092671107244E-3</v>
      </c>
      <c r="O56" s="38">
        <v>2.0382695507487503E-2</v>
      </c>
      <c r="P56" s="38">
        <v>2.4767801857585203E-2</v>
      </c>
      <c r="Q56" s="38">
        <v>3.9682539682539542E-3</v>
      </c>
      <c r="R56" s="38">
        <v>5.6179775280897903E-3</v>
      </c>
      <c r="T56" s="1">
        <v>11</v>
      </c>
    </row>
    <row r="57" spans="1:20" x14ac:dyDescent="0.2">
      <c r="A57" s="1">
        <v>12</v>
      </c>
      <c r="C57" s="38">
        <v>4.5069406886606433E-3</v>
      </c>
      <c r="D57" s="38">
        <v>1.9867549668874274E-2</v>
      </c>
      <c r="E57" s="38">
        <v>-8.0350620891160851E-3</v>
      </c>
      <c r="F57" s="38">
        <v>5.8055152394775877E-3</v>
      </c>
      <c r="H57" s="38">
        <v>4.023668639053346E-3</v>
      </c>
      <c r="I57" s="38">
        <v>2.1102497846684054E-2</v>
      </c>
      <c r="J57" s="38">
        <v>2.4863553668890148E-2</v>
      </c>
      <c r="K57" s="38">
        <v>-1.4464802314368197E-2</v>
      </c>
      <c r="L57" s="38">
        <v>1.5174506828528056E-3</v>
      </c>
      <c r="N57" s="38">
        <v>2.7027027027028971E-3</v>
      </c>
      <c r="O57" s="38">
        <v>2.0790868324500611E-2</v>
      </c>
      <c r="P57" s="38">
        <v>2.4773413897281049E-2</v>
      </c>
      <c r="Q57" s="38">
        <v>-1.9762845849802257E-2</v>
      </c>
      <c r="R57" s="38">
        <v>5.5865921787709993E-3</v>
      </c>
      <c r="T57" s="1">
        <v>12</v>
      </c>
    </row>
    <row r="58" spans="1:20" x14ac:dyDescent="0.2">
      <c r="A58" s="1">
        <v>13</v>
      </c>
      <c r="C58" s="38">
        <v>7.5376884422111434E-3</v>
      </c>
      <c r="D58" s="38">
        <v>2.2321428571428603E-2</v>
      </c>
      <c r="E58" s="38">
        <v>-1.3254786450662692E-2</v>
      </c>
      <c r="F58" s="38">
        <v>5.050505050504972E-3</v>
      </c>
      <c r="H58" s="38">
        <v>1.0608203677510586E-2</v>
      </c>
      <c r="I58" s="38">
        <v>2.2353437368199058E-2</v>
      </c>
      <c r="J58" s="38">
        <v>2.4260355029585901E-2</v>
      </c>
      <c r="K58" s="38">
        <v>-2.2504892367906093E-2</v>
      </c>
      <c r="L58" s="38">
        <v>3.0303030303031608E-3</v>
      </c>
      <c r="N58" s="38">
        <v>5.0913447139862011E-3</v>
      </c>
      <c r="O58" s="38">
        <v>2.0367412140575247E-2</v>
      </c>
      <c r="P58" s="38">
        <v>2.4174528301886822E-2</v>
      </c>
      <c r="Q58" s="38">
        <v>-2.8225806451612878E-2</v>
      </c>
      <c r="R58" s="38">
        <v>8.3333333333333037E-3</v>
      </c>
      <c r="T58" s="1">
        <v>13</v>
      </c>
    </row>
    <row r="59" spans="1:20" x14ac:dyDescent="0.2">
      <c r="A59" s="1">
        <v>14</v>
      </c>
      <c r="C59" s="38">
        <v>7.1250445315285127E-4</v>
      </c>
      <c r="D59" s="38">
        <v>2.1834061135371119E-2</v>
      </c>
      <c r="E59" s="38">
        <v>-9.7014925373134497E-3</v>
      </c>
      <c r="F59" s="38">
        <v>5.7430007178751463E-3</v>
      </c>
      <c r="H59" s="38">
        <v>-4.6652670865399148E-4</v>
      </c>
      <c r="I59" s="38">
        <v>2.1864686468646921E-2</v>
      </c>
      <c r="J59" s="38">
        <v>2.4263431542461023E-2</v>
      </c>
      <c r="K59" s="38">
        <v>-1.8018018018017945E-2</v>
      </c>
      <c r="L59" s="38">
        <v>3.0211480362536403E-3</v>
      </c>
      <c r="N59" s="38">
        <v>-2.9797377830751426E-3</v>
      </c>
      <c r="O59" s="38">
        <v>1.9960861056751433E-2</v>
      </c>
      <c r="P59" s="38">
        <v>2.4179620034542104E-2</v>
      </c>
      <c r="Q59" s="38">
        <v>-2.6279391424619658E-2</v>
      </c>
      <c r="R59" s="38">
        <v>1.1019283746556585E-2</v>
      </c>
      <c r="T59" s="1">
        <v>14</v>
      </c>
    </row>
    <row r="60" spans="1:20" x14ac:dyDescent="0.2">
      <c r="A60" s="1">
        <v>15</v>
      </c>
      <c r="C60" s="38">
        <v>1.9579921680312751E-3</v>
      </c>
      <c r="D60" s="38">
        <v>2.2144522144522227E-2</v>
      </c>
      <c r="E60" s="38">
        <v>-7.5357950263752471E-3</v>
      </c>
      <c r="F60" s="38">
        <v>6.0670949321912637E-3</v>
      </c>
      <c r="H60" s="38">
        <v>-2.333722287047868E-4</v>
      </c>
      <c r="I60" s="38">
        <v>2.1800565199838529E-2</v>
      </c>
      <c r="J60" s="38">
        <v>2.5380710659898442E-2</v>
      </c>
      <c r="K60" s="38">
        <v>-1.5290519877675823E-2</v>
      </c>
      <c r="L60" s="38">
        <v>4.5180722891566827E-3</v>
      </c>
      <c r="N60" s="38">
        <v>-1.7931858936043321E-3</v>
      </c>
      <c r="O60" s="38">
        <v>2.0337682271680757E-2</v>
      </c>
      <c r="P60" s="38">
        <v>2.5295109612141653E-2</v>
      </c>
      <c r="Q60" s="38">
        <v>-2.1306818181818232E-2</v>
      </c>
      <c r="R60" s="38">
        <v>5.4495912806540314E-3</v>
      </c>
      <c r="T60" s="1">
        <v>15</v>
      </c>
    </row>
    <row r="61" spans="1:20" x14ac:dyDescent="0.2">
      <c r="A61" s="1">
        <v>16</v>
      </c>
      <c r="C61" s="38">
        <v>-7.1060579143722435E-4</v>
      </c>
      <c r="D61" s="38">
        <v>2.204484986697075E-2</v>
      </c>
      <c r="E61" s="38">
        <v>1.5186028853455547E-3</v>
      </c>
      <c r="F61" s="38">
        <v>7.0947144377437876E-3</v>
      </c>
      <c r="H61" s="38">
        <v>-5.1353874883287576E-3</v>
      </c>
      <c r="I61" s="38">
        <v>2.2125642038719917E-2</v>
      </c>
      <c r="J61" s="38">
        <v>2.64026402640265E-2</v>
      </c>
      <c r="K61" s="38">
        <v>-3.1055900621117516E-3</v>
      </c>
      <c r="L61" s="38">
        <v>4.4977511244377322E-3</v>
      </c>
      <c r="N61" s="38">
        <v>-2.6946107784430184E-3</v>
      </c>
      <c r="O61" s="38">
        <v>2.0684467845054622E-2</v>
      </c>
      <c r="P61" s="38">
        <v>2.6315789473684292E-2</v>
      </c>
      <c r="Q61" s="38">
        <v>-4.3541364296080243E-3</v>
      </c>
      <c r="R61" s="38">
        <v>1.084010840108407E-2</v>
      </c>
      <c r="T61" s="1">
        <v>16</v>
      </c>
    </row>
    <row r="62" spans="1:20" x14ac:dyDescent="0.2">
      <c r="A62" s="1">
        <v>17</v>
      </c>
      <c r="C62" s="38">
        <v>4.2666666666666409E-3</v>
      </c>
      <c r="D62" s="38">
        <v>2.1197471178876937E-2</v>
      </c>
      <c r="E62" s="38">
        <v>9.0978013646703104E-3</v>
      </c>
      <c r="F62" s="38">
        <v>9.158154279675923E-3</v>
      </c>
      <c r="H62" s="38">
        <v>2.8155795401221262E-3</v>
      </c>
      <c r="I62" s="38">
        <v>2.2033243138770864E-2</v>
      </c>
      <c r="J62" s="38">
        <v>2.5723472668810254E-2</v>
      </c>
      <c r="K62" s="38">
        <v>6.230529595015355E-3</v>
      </c>
      <c r="L62" s="38">
        <v>5.9701492537314049E-3</v>
      </c>
      <c r="N62" s="38">
        <v>4.8033623536474224E-3</v>
      </c>
      <c r="O62" s="38">
        <v>2.0633750921149607E-2</v>
      </c>
      <c r="P62" s="38">
        <v>2.5641025641025772E-2</v>
      </c>
      <c r="Q62" s="38">
        <v>7.2886297376093534E-3</v>
      </c>
      <c r="R62" s="38">
        <v>5.3619302949061698E-3</v>
      </c>
      <c r="T62" s="1">
        <v>17</v>
      </c>
    </row>
    <row r="63" spans="1:20" x14ac:dyDescent="0.2">
      <c r="A63" s="1">
        <v>18</v>
      </c>
      <c r="C63" s="38">
        <v>5.4876969375110551E-3</v>
      </c>
      <c r="D63" s="38">
        <v>2.2214129643117309E-2</v>
      </c>
      <c r="E63" s="38">
        <v>1.2021036814425345E-2</v>
      </c>
      <c r="F63" s="38">
        <v>8.0279232111692966E-3</v>
      </c>
      <c r="H63" s="38">
        <v>5.3813757604117551E-3</v>
      </c>
      <c r="I63" s="38">
        <v>2.3449319213313169E-2</v>
      </c>
      <c r="J63" s="38">
        <v>2.4033437826541215E-2</v>
      </c>
      <c r="K63" s="38">
        <v>9.2879256965943124E-3</v>
      </c>
      <c r="L63" s="38">
        <v>4.4510385756675319E-3</v>
      </c>
      <c r="N63" s="38">
        <v>6.5730504929788491E-3</v>
      </c>
      <c r="O63" s="38">
        <v>2.2743682310469193E-2</v>
      </c>
      <c r="P63" s="38">
        <v>2.3958333333333304E-2</v>
      </c>
      <c r="Q63" s="38">
        <v>1.3024602026049159E-2</v>
      </c>
      <c r="R63" s="38">
        <v>8.0000000000000071E-3</v>
      </c>
      <c r="T63" s="1">
        <v>18</v>
      </c>
    </row>
    <row r="64" spans="1:20" x14ac:dyDescent="0.2">
      <c r="A64" s="1">
        <v>19</v>
      </c>
      <c r="C64" s="38">
        <v>5.8098591549295975E-3</v>
      </c>
      <c r="D64" s="38">
        <v>2.2087638047737723E-2</v>
      </c>
      <c r="E64" s="38">
        <v>1.1135857461024301E-2</v>
      </c>
      <c r="F64" s="38">
        <v>7.2714681440444462E-3</v>
      </c>
      <c r="H64" s="38">
        <v>5.3525715615547753E-3</v>
      </c>
      <c r="I64" s="38">
        <v>2.3281596452328301E-2</v>
      </c>
      <c r="J64" s="38">
        <v>2.6020408163265119E-2</v>
      </c>
      <c r="K64" s="38">
        <v>9.2024539877300082E-3</v>
      </c>
      <c r="L64" s="38">
        <v>2.9542097488921559E-3</v>
      </c>
      <c r="N64" s="38">
        <v>5.6396556841793455E-3</v>
      </c>
      <c r="O64" s="38">
        <v>2.2590893046240845E-2</v>
      </c>
      <c r="P64" s="38">
        <v>2.5940996948118134E-2</v>
      </c>
      <c r="Q64" s="38">
        <v>1.28571428571429E-2</v>
      </c>
      <c r="R64" s="38">
        <v>5.2910052910053462E-3</v>
      </c>
      <c r="T64" s="1">
        <v>19</v>
      </c>
    </row>
    <row r="65" spans="1:20" x14ac:dyDescent="0.2">
      <c r="A65" s="1">
        <v>20</v>
      </c>
      <c r="C65" s="38">
        <v>4.5510239803956409E-3</v>
      </c>
      <c r="D65" s="38">
        <v>2.2655977692575657E-2</v>
      </c>
      <c r="E65" s="38">
        <v>1.6886930983847304E-2</v>
      </c>
      <c r="F65" s="38">
        <v>7.906497078033814E-3</v>
      </c>
      <c r="H65" s="38">
        <v>4.3981481481480955E-3</v>
      </c>
      <c r="I65" s="38">
        <v>2.3474178403755763E-2</v>
      </c>
      <c r="J65" s="38">
        <v>2.5857782197911572E-2</v>
      </c>
      <c r="K65" s="38">
        <v>1.5197568389057725E-2</v>
      </c>
      <c r="L65" s="38">
        <v>2.9455081001472649E-3</v>
      </c>
      <c r="N65" s="38">
        <v>5.312868949232552E-3</v>
      </c>
      <c r="O65" s="38">
        <v>2.2437003797031396E-2</v>
      </c>
      <c r="P65" s="38">
        <v>2.5780862667327709E-2</v>
      </c>
      <c r="Q65" s="38">
        <v>2.1156558533145242E-2</v>
      </c>
      <c r="R65" s="38">
        <v>5.2631578947368585E-3</v>
      </c>
      <c r="T65" s="1">
        <v>20</v>
      </c>
    </row>
    <row r="66" spans="1:20" x14ac:dyDescent="0.2">
      <c r="A66" s="1">
        <v>21</v>
      </c>
      <c r="C66" s="38">
        <v>3.3106813033629834E-3</v>
      </c>
      <c r="D66" s="38">
        <v>2.2154055896387082E-2</v>
      </c>
      <c r="E66" s="38">
        <v>1.3718411552346543E-2</v>
      </c>
      <c r="F66" s="38">
        <v>7.5034106412004142E-3</v>
      </c>
      <c r="H66" s="38">
        <v>2.99608204655466E-3</v>
      </c>
      <c r="I66" s="38">
        <v>2.2935779816513735E-2</v>
      </c>
      <c r="J66" s="38">
        <v>2.5690741638390691E-2</v>
      </c>
      <c r="K66" s="38">
        <v>1.39720558882237E-2</v>
      </c>
      <c r="L66" s="38">
        <v>2.936857562408246E-3</v>
      </c>
      <c r="N66" s="38">
        <v>4.4039929536112687E-3</v>
      </c>
      <c r="O66" s="38">
        <v>2.2282241728561747E-2</v>
      </c>
      <c r="P66" s="38">
        <v>2.5616239729337797E-2</v>
      </c>
      <c r="Q66" s="38">
        <v>1.6574585635359185E-2</v>
      </c>
      <c r="R66" s="38">
        <v>5.2356020942407877E-3</v>
      </c>
      <c r="T66" s="1">
        <v>21</v>
      </c>
    </row>
    <row r="67" spans="1:20" x14ac:dyDescent="0.2">
      <c r="A67" s="1">
        <v>22</v>
      </c>
      <c r="C67" s="38">
        <v>4.8627995831886928E-3</v>
      </c>
      <c r="D67" s="38">
        <v>2.234078026008679E-2</v>
      </c>
      <c r="E67" s="38">
        <v>2.3504273504273421E-2</v>
      </c>
      <c r="F67" s="38">
        <v>7.1090047393365108E-3</v>
      </c>
      <c r="H67" s="38">
        <v>5.0551470588235947E-3</v>
      </c>
      <c r="I67" s="38">
        <v>2.3456364263539253E-2</v>
      </c>
      <c r="J67" s="38">
        <v>2.5047258979206122E-2</v>
      </c>
      <c r="K67" s="38">
        <v>2.4606299212598381E-2</v>
      </c>
      <c r="L67" s="38">
        <v>5.8565153733529662E-3</v>
      </c>
      <c r="N67" s="38">
        <v>7.307804735457557E-3</v>
      </c>
      <c r="O67" s="38">
        <v>2.212681638044911E-2</v>
      </c>
      <c r="P67" s="38">
        <v>2.4976437323279921E-2</v>
      </c>
      <c r="Q67" s="38">
        <v>3.3967391304347894E-2</v>
      </c>
      <c r="R67" s="38">
        <v>1.0416666666666741E-2</v>
      </c>
      <c r="T67" s="1">
        <v>22</v>
      </c>
    </row>
    <row r="68" spans="1:20" x14ac:dyDescent="0.2">
      <c r="A68" s="1">
        <v>23</v>
      </c>
      <c r="C68" s="38">
        <v>1.2098167991704267E-2</v>
      </c>
      <c r="D68" s="38">
        <v>2.4135681669928299E-2</v>
      </c>
      <c r="E68" s="38">
        <v>2.9923451635351483E-2</v>
      </c>
      <c r="F68" s="38">
        <v>7.058823529411784E-3</v>
      </c>
      <c r="H68" s="38">
        <v>1.5546410608139105E-2</v>
      </c>
      <c r="I68" s="38">
        <v>2.4941017863161496E-2</v>
      </c>
      <c r="J68" s="38">
        <v>2.581834946980166E-2</v>
      </c>
      <c r="K68" s="38">
        <v>3.4582132564841439E-2</v>
      </c>
      <c r="L68" s="38">
        <v>5.8224163027655873E-3</v>
      </c>
      <c r="N68" s="38">
        <v>1.6540917005223532E-2</v>
      </c>
      <c r="O68" s="38">
        <v>2.4232633279483107E-2</v>
      </c>
      <c r="P68" s="38">
        <v>2.5747126436781453E-2</v>
      </c>
      <c r="Q68" s="38">
        <v>4.4678055190538801E-2</v>
      </c>
      <c r="R68" s="38">
        <v>1.0309278350515427E-2</v>
      </c>
      <c r="T68" s="1">
        <v>23</v>
      </c>
    </row>
    <row r="69" spans="1:20" x14ac:dyDescent="0.2">
      <c r="A69" s="1">
        <v>24</v>
      </c>
      <c r="C69" s="38">
        <v>1.5710382513661081E-2</v>
      </c>
      <c r="D69" s="38">
        <v>2.3248407643312152E-2</v>
      </c>
      <c r="E69" s="38">
        <v>3.4459459459459385E-2</v>
      </c>
      <c r="F69" s="38">
        <v>9.0120160213618128E-3</v>
      </c>
      <c r="H69" s="38">
        <v>1.9360648356596011E-2</v>
      </c>
      <c r="I69" s="38">
        <v>2.4005261427162194E-2</v>
      </c>
      <c r="J69" s="38">
        <v>3.8651685393258362E-2</v>
      </c>
      <c r="K69" s="38">
        <v>3.9925719591457742E-2</v>
      </c>
      <c r="L69" s="38">
        <v>4.3415340086832011E-3</v>
      </c>
      <c r="N69" s="38">
        <v>2.198115900656572E-2</v>
      </c>
      <c r="O69" s="38">
        <v>2.3343848580441584E-2</v>
      </c>
      <c r="P69" s="38">
        <v>3.8547736441058023E-2</v>
      </c>
      <c r="Q69" s="38">
        <v>5.1572327044025146E-2</v>
      </c>
      <c r="R69" s="38">
        <v>1.0204081632652962E-2</v>
      </c>
      <c r="T69" s="1">
        <v>24</v>
      </c>
    </row>
    <row r="70" spans="1:20" x14ac:dyDescent="0.2">
      <c r="A70" s="1">
        <v>25</v>
      </c>
      <c r="C70" s="38">
        <v>1.1264290517821074E-2</v>
      </c>
      <c r="D70" s="38">
        <v>2.1786492374727517E-2</v>
      </c>
      <c r="E70" s="38">
        <v>3.0045721750489918E-2</v>
      </c>
      <c r="F70" s="38">
        <v>1.0254713860403442E-2</v>
      </c>
      <c r="H70" s="38">
        <v>1.3692579505300229E-2</v>
      </c>
      <c r="I70" s="38">
        <v>2.2479126525369209E-2</v>
      </c>
      <c r="J70" s="38">
        <v>4.7598442232799743E-2</v>
      </c>
      <c r="K70" s="38">
        <v>3.392857142857153E-2</v>
      </c>
      <c r="L70" s="38">
        <v>5.7636887608070175E-3</v>
      </c>
      <c r="N70" s="38">
        <v>1.6759776536312998E-2</v>
      </c>
      <c r="O70" s="38">
        <v>2.1578298397040729E-2</v>
      </c>
      <c r="P70" s="38">
        <v>4.747518342684498E-2</v>
      </c>
      <c r="Q70" s="38">
        <v>4.4258373205741774E-2</v>
      </c>
      <c r="R70" s="38">
        <v>1.0101010101010166E-2</v>
      </c>
      <c r="T70" s="1">
        <v>25</v>
      </c>
    </row>
    <row r="71" spans="1:20" x14ac:dyDescent="0.2">
      <c r="A71" s="1">
        <v>26</v>
      </c>
      <c r="C71" s="38">
        <v>6.8162926018289216E-3</v>
      </c>
      <c r="D71" s="38">
        <v>2.1017362168748166E-2</v>
      </c>
      <c r="E71" s="38">
        <v>1.3950538998097617E-2</v>
      </c>
      <c r="F71" s="38">
        <v>7.5311067452521474E-3</v>
      </c>
      <c r="H71" s="38">
        <v>7.4074074074075291E-3</v>
      </c>
      <c r="I71" s="38">
        <v>2.1984924623115631E-2</v>
      </c>
      <c r="J71" s="38">
        <v>3.3870301528294178E-2</v>
      </c>
      <c r="K71" s="38">
        <v>1.7271157167530138E-2</v>
      </c>
      <c r="L71" s="38">
        <v>4.2979942693408546E-3</v>
      </c>
      <c r="N71" s="38">
        <v>9.0659340659340337E-3</v>
      </c>
      <c r="O71" s="38">
        <v>2.1122510561255359E-2</v>
      </c>
      <c r="P71" s="38">
        <v>3.3786567779151122E-2</v>
      </c>
      <c r="Q71" s="38">
        <v>2.2909507445589838E-2</v>
      </c>
      <c r="R71" s="38">
        <v>7.5000000000000622E-3</v>
      </c>
      <c r="T71" s="1">
        <v>26</v>
      </c>
    </row>
    <row r="72" spans="1:20" x14ac:dyDescent="0.2">
      <c r="A72" s="1">
        <v>27</v>
      </c>
      <c r="C72" s="38">
        <v>5.7793923381768142E-3</v>
      </c>
      <c r="D72" s="38">
        <v>2.0883054892601338E-2</v>
      </c>
      <c r="E72" s="38">
        <v>9.3808630393996673E-3</v>
      </c>
      <c r="F72" s="38">
        <v>6.8248293792656511E-3</v>
      </c>
      <c r="H72" s="38">
        <v>5.6228373702422729E-3</v>
      </c>
      <c r="I72" s="38">
        <v>2.1511985248924503E-2</v>
      </c>
      <c r="J72" s="38">
        <v>2.7966440271673942E-2</v>
      </c>
      <c r="K72" s="38">
        <v>1.2733446519524572E-2</v>
      </c>
      <c r="L72" s="38">
        <v>4.2796005706133844E-3</v>
      </c>
      <c r="N72" s="38">
        <v>7.0786822760686707E-3</v>
      </c>
      <c r="O72" s="38">
        <v>2.0981087470449022E-2</v>
      </c>
      <c r="P72" s="38">
        <v>2.7899561578317966E-2</v>
      </c>
      <c r="Q72" s="38">
        <v>1.6797312430011146E-2</v>
      </c>
      <c r="R72" s="38">
        <v>7.4441687344910523E-3</v>
      </c>
      <c r="T72" s="1">
        <v>27</v>
      </c>
    </row>
    <row r="73" spans="1:20" x14ac:dyDescent="0.2">
      <c r="A73" s="1">
        <v>28</v>
      </c>
      <c r="C73" s="38">
        <v>5.9103595468725789E-3</v>
      </c>
      <c r="D73" s="38">
        <v>2.1332554061952225E-2</v>
      </c>
      <c r="E73" s="38">
        <v>9.9132589838910601E-3</v>
      </c>
      <c r="F73" s="38">
        <v>6.7785668173014901E-3</v>
      </c>
      <c r="H73" s="38">
        <v>5.5913978494623873E-3</v>
      </c>
      <c r="I73" s="38">
        <v>2.1961492178098618E-2</v>
      </c>
      <c r="J73" s="38">
        <v>2.837155071900499E-2</v>
      </c>
      <c r="K73" s="38">
        <v>1.3411567476948827E-2</v>
      </c>
      <c r="L73" s="38">
        <v>5.6818181818181213E-3</v>
      </c>
      <c r="N73" s="38">
        <v>7.0289267369558761E-3</v>
      </c>
      <c r="O73" s="38">
        <v>2.1128798842257712E-2</v>
      </c>
      <c r="P73" s="38">
        <v>2.8305544784800407E-2</v>
      </c>
      <c r="Q73" s="38">
        <v>1.7621145374449254E-2</v>
      </c>
      <c r="R73" s="38">
        <v>9.8522167487684609E-3</v>
      </c>
      <c r="T73" s="1">
        <v>28</v>
      </c>
    </row>
    <row r="74" spans="1:20" x14ac:dyDescent="0.2">
      <c r="A74" s="1">
        <v>29</v>
      </c>
      <c r="C74" s="38">
        <v>5.7124204341438833E-3</v>
      </c>
      <c r="D74" s="38">
        <v>2.1459227467811148E-2</v>
      </c>
      <c r="E74" s="38">
        <v>9.8159509202453421E-3</v>
      </c>
      <c r="F74" s="38">
        <v>6.7329272202627521E-3</v>
      </c>
      <c r="H74" s="38">
        <v>5.7741659538066425E-3</v>
      </c>
      <c r="I74" s="38">
        <v>2.2078304386223158E-2</v>
      </c>
      <c r="J74" s="38">
        <v>2.7966742252456545E-2</v>
      </c>
      <c r="K74" s="38">
        <v>1.3234077750206685E-2</v>
      </c>
      <c r="L74" s="38">
        <v>4.237288135593209E-3</v>
      </c>
      <c r="N74" s="38">
        <v>6.9798657718120882E-3</v>
      </c>
      <c r="O74" s="38">
        <v>2.0975056689342519E-2</v>
      </c>
      <c r="P74" s="38">
        <v>2.7903469079939791E-2</v>
      </c>
      <c r="Q74" s="38">
        <v>1.7316017316017396E-2</v>
      </c>
      <c r="R74" s="38">
        <v>7.3170731707317138E-3</v>
      </c>
      <c r="T74" s="1">
        <v>29</v>
      </c>
    </row>
    <row r="75" spans="1:20" x14ac:dyDescent="0.2">
      <c r="A75" s="1">
        <v>30</v>
      </c>
      <c r="C75" s="38">
        <v>5.8422590068158975E-3</v>
      </c>
      <c r="D75" s="38">
        <v>2.1568627450980316E-2</v>
      </c>
      <c r="E75" s="38">
        <v>9.7205346294046979E-3</v>
      </c>
      <c r="F75" s="38">
        <v>6.6878980891720285E-3</v>
      </c>
      <c r="H75" s="38">
        <v>5.7410163725279961E-3</v>
      </c>
      <c r="I75" s="38">
        <v>2.2177419354838745E-2</v>
      </c>
      <c r="J75" s="38">
        <v>2.8308823529411775E-2</v>
      </c>
      <c r="K75" s="38">
        <v>1.3061224489795853E-2</v>
      </c>
      <c r="L75" s="38">
        <v>5.6258790436005679E-3</v>
      </c>
      <c r="N75" s="38">
        <v>6.9314849373500742E-3</v>
      </c>
      <c r="O75" s="38">
        <v>2.1377012770682935E-2</v>
      </c>
      <c r="P75" s="38">
        <v>2.8246515040352138E-2</v>
      </c>
      <c r="Q75" s="38">
        <v>1.7021276595744705E-2</v>
      </c>
      <c r="R75" s="38">
        <v>7.2639225181598821E-3</v>
      </c>
      <c r="T75" s="1">
        <v>30</v>
      </c>
    </row>
    <row r="77" spans="1:20" ht="15.75" x14ac:dyDescent="0.25">
      <c r="A77" s="31" t="s">
        <v>249</v>
      </c>
      <c r="B77" s="4"/>
      <c r="C77" s="4"/>
      <c r="D77" s="4"/>
      <c r="E77" s="4"/>
      <c r="F77" s="4"/>
      <c r="G77" s="4"/>
      <c r="H77" s="4"/>
      <c r="I77" s="4"/>
      <c r="J77" s="4"/>
      <c r="K77" s="4"/>
      <c r="L77" s="4"/>
      <c r="M77" s="4"/>
      <c r="N77" s="4"/>
      <c r="O77" s="4"/>
      <c r="P77" s="4"/>
      <c r="Q77" s="4"/>
      <c r="R77" s="4"/>
      <c r="S77" s="4"/>
      <c r="T77" s="31"/>
    </row>
    <row r="78" spans="1:20" ht="15.75" x14ac:dyDescent="0.25">
      <c r="A78" s="31" t="s">
        <v>115</v>
      </c>
      <c r="B78" s="4"/>
      <c r="C78" s="4"/>
      <c r="D78" s="4"/>
      <c r="E78" s="4"/>
      <c r="F78" s="4"/>
      <c r="G78" s="4"/>
      <c r="H78" s="4"/>
      <c r="I78" s="4"/>
      <c r="J78" s="4"/>
      <c r="K78" s="4"/>
      <c r="L78" s="4"/>
      <c r="M78" s="4"/>
      <c r="N78" s="4"/>
      <c r="O78" s="4"/>
      <c r="P78" s="4"/>
      <c r="Q78" s="4"/>
      <c r="R78" s="4"/>
      <c r="S78" s="4"/>
      <c r="T78" s="31"/>
    </row>
    <row r="79" spans="1:20" ht="15.75" x14ac:dyDescent="0.25">
      <c r="A79" s="31" t="s">
        <v>129</v>
      </c>
      <c r="B79" s="4"/>
      <c r="C79" s="4"/>
      <c r="D79" s="4"/>
      <c r="E79" s="4"/>
      <c r="F79" s="4"/>
      <c r="G79" s="4"/>
      <c r="H79" s="4"/>
      <c r="I79" s="4"/>
      <c r="J79" s="4"/>
      <c r="K79" s="4"/>
      <c r="L79" s="4"/>
      <c r="M79" s="4"/>
      <c r="N79" s="4"/>
      <c r="O79" s="4"/>
      <c r="P79" s="4"/>
      <c r="Q79" s="4"/>
      <c r="R79" s="4"/>
      <c r="S79" s="4"/>
      <c r="T79" s="4"/>
    </row>
    <row r="80" spans="1:20" ht="7.5" customHeight="1" x14ac:dyDescent="0.25">
      <c r="A80" s="30"/>
      <c r="C80"/>
      <c r="T80"/>
    </row>
    <row r="81" spans="1:20" x14ac:dyDescent="0.2">
      <c r="C81" s="25" t="s">
        <v>122</v>
      </c>
      <c r="D81" s="25"/>
      <c r="E81" s="25"/>
      <c r="F81" s="25"/>
      <c r="H81" s="25" t="s">
        <v>123</v>
      </c>
      <c r="I81" s="25"/>
      <c r="J81" s="25"/>
      <c r="K81" s="25"/>
      <c r="L81" s="4"/>
      <c r="N81" s="25" t="s">
        <v>124</v>
      </c>
      <c r="O81" s="25"/>
      <c r="P81" s="25"/>
      <c r="Q81" s="25"/>
      <c r="R81" s="4"/>
    </row>
    <row r="82" spans="1:20" x14ac:dyDescent="0.2">
      <c r="A82" s="1" t="s">
        <v>41</v>
      </c>
      <c r="C82" s="1" t="s">
        <v>32</v>
      </c>
      <c r="D82" s="1" t="s">
        <v>125</v>
      </c>
      <c r="E82" s="1" t="s">
        <v>33</v>
      </c>
      <c r="F82" s="1" t="s">
        <v>126</v>
      </c>
      <c r="G82" s="1"/>
      <c r="H82" s="1" t="s">
        <v>32</v>
      </c>
      <c r="I82" s="1" t="s">
        <v>125</v>
      </c>
      <c r="J82" s="1" t="s">
        <v>127</v>
      </c>
      <c r="K82" s="1" t="s">
        <v>33</v>
      </c>
      <c r="L82" s="1" t="s">
        <v>128</v>
      </c>
      <c r="M82" s="1"/>
      <c r="N82" s="1" t="s">
        <v>32</v>
      </c>
      <c r="O82" s="1" t="s">
        <v>125</v>
      </c>
      <c r="P82" s="1" t="s">
        <v>127</v>
      </c>
      <c r="Q82" s="1" t="s">
        <v>33</v>
      </c>
      <c r="R82" s="1" t="s">
        <v>128</v>
      </c>
      <c r="T82" s="1" t="s">
        <v>41</v>
      </c>
    </row>
    <row r="83" spans="1:20" x14ac:dyDescent="0.2">
      <c r="A83" s="1">
        <v>1</v>
      </c>
      <c r="C83" s="38">
        <v>3.3717579250720275E-2</v>
      </c>
      <c r="D83" s="38">
        <v>-1.6691957511380751E-2</v>
      </c>
      <c r="E83" s="38">
        <v>-1.5495867768595128E-2</v>
      </c>
      <c r="F83" s="38">
        <v>6.9444444444446418E-3</v>
      </c>
      <c r="H83" s="38">
        <v>2.1253206302675132E-2</v>
      </c>
      <c r="I83" s="38">
        <v>-1.6467065868263409E-2</v>
      </c>
      <c r="J83" s="38">
        <v>7.684918347742542E-3</v>
      </c>
      <c r="K83" s="38">
        <v>0</v>
      </c>
      <c r="L83" s="38">
        <v>6.2111801242235032E-3</v>
      </c>
      <c r="N83" s="38">
        <v>8.6330935251799357E-3</v>
      </c>
      <c r="O83" s="38">
        <v>-1.6314779270633406E-2</v>
      </c>
      <c r="P83" s="38">
        <v>7.9681274900398336E-3</v>
      </c>
      <c r="Q83" s="38">
        <v>-2.0332717190388205E-2</v>
      </c>
      <c r="R83" s="38">
        <v>2.34375E-2</v>
      </c>
      <c r="T83" s="1">
        <v>1</v>
      </c>
    </row>
    <row r="84" spans="1:20" x14ac:dyDescent="0.2">
      <c r="A84" s="1">
        <v>2</v>
      </c>
      <c r="C84" s="38">
        <v>2.7042096459437115E-2</v>
      </c>
      <c r="D84" s="38">
        <v>1.5432098765431945E-2</v>
      </c>
      <c r="E84" s="38">
        <v>-1.0493179433368471E-3</v>
      </c>
      <c r="F84" s="38">
        <v>2.6525198938992078E-2</v>
      </c>
      <c r="H84" s="38">
        <v>2.1169716541083572E-2</v>
      </c>
      <c r="I84" s="38">
        <v>3.3485540334855513E-2</v>
      </c>
      <c r="J84" s="38">
        <v>6.3870352716873136E-2</v>
      </c>
      <c r="K84" s="38">
        <v>-1.0613207547169767E-2</v>
      </c>
      <c r="L84" s="38">
        <v>2.1604938271604812E-2</v>
      </c>
      <c r="N84" s="38">
        <v>1.1887779362814932E-2</v>
      </c>
      <c r="O84" s="38">
        <v>1.6585365853658551E-2</v>
      </c>
      <c r="P84" s="38">
        <v>8.7944664031620601E-2</v>
      </c>
      <c r="Q84" s="38">
        <v>3.2075471698113089E-2</v>
      </c>
      <c r="R84" s="38">
        <v>2.2900763358778553E-2</v>
      </c>
      <c r="T84" s="1">
        <v>2</v>
      </c>
    </row>
    <row r="85" spans="1:20" x14ac:dyDescent="0.2">
      <c r="A85" s="1">
        <v>3</v>
      </c>
      <c r="C85" s="38">
        <v>3.2573289902280145E-3</v>
      </c>
      <c r="D85" s="38">
        <v>-1.5197568389057059E-3</v>
      </c>
      <c r="E85" s="38">
        <v>6.302521008403339E-3</v>
      </c>
      <c r="F85" s="38">
        <v>9.302325581395321E-3</v>
      </c>
      <c r="H85" s="38">
        <v>-3.5137034434296055E-4</v>
      </c>
      <c r="I85" s="38">
        <v>5.8910162002945299E-3</v>
      </c>
      <c r="J85" s="38">
        <v>8.0645161290322509E-3</v>
      </c>
      <c r="K85" s="38">
        <v>-9.5351609058402786E-3</v>
      </c>
      <c r="L85" s="38">
        <v>6.0422960725075026E-3</v>
      </c>
      <c r="N85" s="38">
        <v>-5.1691729323307678E-3</v>
      </c>
      <c r="O85" s="38">
        <v>4.7984644913645624E-4</v>
      </c>
      <c r="P85" s="38">
        <v>1.4532243415077195E-2</v>
      </c>
      <c r="Q85" s="38">
        <v>5.1188299817184646E-2</v>
      </c>
      <c r="R85" s="38">
        <v>7.4626865671640896E-3</v>
      </c>
      <c r="T85" s="1">
        <v>3</v>
      </c>
    </row>
    <row r="86" spans="1:20" x14ac:dyDescent="0.2">
      <c r="A86" s="1">
        <v>4</v>
      </c>
      <c r="C86" s="38">
        <v>2.7056277056276556E-3</v>
      </c>
      <c r="D86" s="38">
        <v>1.1669203450025423E-2</v>
      </c>
      <c r="E86" s="38">
        <v>3.3402922755741082E-2</v>
      </c>
      <c r="F86" s="38">
        <v>7.1684587813620748E-3</v>
      </c>
      <c r="H86" s="38">
        <v>7.0298769771537373E-4</v>
      </c>
      <c r="I86" s="38">
        <v>1.1224987798926334E-2</v>
      </c>
      <c r="J86" s="38">
        <v>1.8666666666666831E-2</v>
      </c>
      <c r="K86" s="38">
        <v>3.1287605294825438E-2</v>
      </c>
      <c r="L86" s="38">
        <v>6.0060060060060927E-3</v>
      </c>
      <c r="N86" s="38">
        <v>2.3618327822387819E-3</v>
      </c>
      <c r="O86" s="38">
        <v>1.1510791366906359E-2</v>
      </c>
      <c r="P86" s="38">
        <v>1.7905102954342E-2</v>
      </c>
      <c r="Q86" s="38">
        <v>5.7391304347826022E-2</v>
      </c>
      <c r="R86" s="38">
        <v>1.1111111111111072E-2</v>
      </c>
      <c r="T86" s="1">
        <v>4</v>
      </c>
    </row>
    <row r="87" spans="1:20" x14ac:dyDescent="0.2">
      <c r="A87" s="1">
        <v>5</v>
      </c>
      <c r="C87" s="38">
        <v>1.6999460334592431E-2</v>
      </c>
      <c r="D87" s="38">
        <v>1.3039117352056095E-2</v>
      </c>
      <c r="E87" s="38">
        <v>4.646464646464632E-2</v>
      </c>
      <c r="F87" s="38">
        <v>4.5754956786985268E-3</v>
      </c>
      <c r="H87" s="38">
        <v>1.4401123990165132E-2</v>
      </c>
      <c r="I87" s="38">
        <v>1.3996138996139162E-2</v>
      </c>
      <c r="J87" s="38">
        <v>2.2687609075043635E-2</v>
      </c>
      <c r="K87" s="38">
        <v>5.0175029171528607E-2</v>
      </c>
      <c r="L87" s="38">
        <v>1.4925373134328401E-2</v>
      </c>
      <c r="N87" s="38">
        <v>1.7436380772855919E-2</v>
      </c>
      <c r="O87" s="38">
        <v>1.5173067804646667E-2</v>
      </c>
      <c r="P87" s="38">
        <v>2.2867194371152255E-2</v>
      </c>
      <c r="Q87" s="38">
        <v>6.414473684210531E-2</v>
      </c>
      <c r="R87" s="38">
        <v>1.831501831501825E-2</v>
      </c>
      <c r="T87" s="1">
        <v>5</v>
      </c>
    </row>
    <row r="88" spans="1:20" x14ac:dyDescent="0.2">
      <c r="A88" s="1">
        <v>6</v>
      </c>
      <c r="C88" s="38">
        <v>1.538869726717973E-2</v>
      </c>
      <c r="D88" s="38">
        <v>1.7821782178217838E-2</v>
      </c>
      <c r="E88" s="38">
        <v>3.2818532818532864E-2</v>
      </c>
      <c r="F88" s="38">
        <v>4.0485829959513442E-3</v>
      </c>
      <c r="H88" s="38">
        <v>1.2119113573407336E-2</v>
      </c>
      <c r="I88" s="38">
        <v>1.7610661589719134E-2</v>
      </c>
      <c r="J88" s="38">
        <v>2.6450511945392385E-2</v>
      </c>
      <c r="K88" s="38">
        <v>3.3333333333333437E-2</v>
      </c>
      <c r="L88" s="38">
        <v>8.8235294117646745E-3</v>
      </c>
      <c r="N88" s="38">
        <v>1.5284854099119949E-2</v>
      </c>
      <c r="O88" s="38">
        <v>1.7748715553479677E-2</v>
      </c>
      <c r="P88" s="38">
        <v>2.6655202063628369E-2</v>
      </c>
      <c r="Q88" s="38">
        <v>4.3276661514683123E-2</v>
      </c>
      <c r="R88" s="38">
        <v>1.4388489208633004E-2</v>
      </c>
      <c r="T88" s="1">
        <v>6</v>
      </c>
    </row>
    <row r="89" spans="1:20" x14ac:dyDescent="0.2">
      <c r="A89" s="1">
        <v>7</v>
      </c>
      <c r="C89" s="38">
        <v>9.6681473739219648E-3</v>
      </c>
      <c r="D89" s="38">
        <v>1.9941634241245065E-2</v>
      </c>
      <c r="E89" s="38">
        <v>1.6822429906542258E-2</v>
      </c>
      <c r="F89" s="38">
        <v>4.0322580645162365E-3</v>
      </c>
      <c r="H89" s="38">
        <v>7.1843995894629309E-3</v>
      </c>
      <c r="I89" s="38">
        <v>2.1983161833489362E-2</v>
      </c>
      <c r="J89" s="38">
        <v>2.8262676641729101E-2</v>
      </c>
      <c r="K89" s="38">
        <v>1.8279569892473146E-2</v>
      </c>
      <c r="L89" s="38">
        <v>5.8309037900874383E-3</v>
      </c>
      <c r="N89" s="38">
        <v>1.0036496350364965E-2</v>
      </c>
      <c r="O89" s="38">
        <v>2.3864157870582714E-2</v>
      </c>
      <c r="P89" s="38">
        <v>2.9313232830820768E-2</v>
      </c>
      <c r="Q89" s="38">
        <v>2.0740740740740726E-2</v>
      </c>
      <c r="R89" s="38">
        <v>1.4184397163120588E-2</v>
      </c>
      <c r="T89" s="1">
        <v>7</v>
      </c>
    </row>
    <row r="90" spans="1:20" x14ac:dyDescent="0.2">
      <c r="A90" s="1">
        <v>8</v>
      </c>
      <c r="C90" s="38">
        <v>7.763975155279379E-3</v>
      </c>
      <c r="D90" s="38">
        <v>2.0505484024797349E-2</v>
      </c>
      <c r="E90" s="38">
        <v>1.2867647058823373E-2</v>
      </c>
      <c r="F90" s="38">
        <v>6.0240963855420215E-3</v>
      </c>
      <c r="H90" s="38">
        <v>5.7744565217390242E-3</v>
      </c>
      <c r="I90" s="38">
        <v>2.1052631578947212E-2</v>
      </c>
      <c r="J90" s="38">
        <v>2.9102667744543398E-2</v>
      </c>
      <c r="K90" s="38">
        <v>1.2671594508975703E-2</v>
      </c>
      <c r="L90" s="38">
        <v>5.7971014492754769E-3</v>
      </c>
      <c r="N90" s="38">
        <v>9.0334236675699842E-3</v>
      </c>
      <c r="O90" s="38">
        <v>2.0618556701031077E-2</v>
      </c>
      <c r="P90" s="38">
        <v>2.9292107404393919E-2</v>
      </c>
      <c r="Q90" s="38">
        <v>1.59651669085632E-2</v>
      </c>
      <c r="R90" s="38">
        <v>1.0489510489510634E-2</v>
      </c>
      <c r="T90" s="1">
        <v>8</v>
      </c>
    </row>
    <row r="91" spans="1:20" x14ac:dyDescent="0.2">
      <c r="A91" s="1">
        <v>9</v>
      </c>
      <c r="C91" s="38">
        <v>2.8248587570620654E-3</v>
      </c>
      <c r="D91" s="38">
        <v>2.0560747663551426E-2</v>
      </c>
      <c r="E91" s="38">
        <v>9.0744101633393193E-3</v>
      </c>
      <c r="F91" s="38">
        <v>5.4890219560876918E-3</v>
      </c>
      <c r="H91" s="38">
        <v>0</v>
      </c>
      <c r="I91" s="38">
        <v>1.9722097714029552E-2</v>
      </c>
      <c r="J91" s="38">
        <v>2.906520031421822E-2</v>
      </c>
      <c r="K91" s="38">
        <v>8.3420229405630764E-3</v>
      </c>
      <c r="L91" s="38">
        <v>2.8818443804032867E-3</v>
      </c>
      <c r="N91" s="38">
        <v>2.6857654431511335E-3</v>
      </c>
      <c r="O91" s="38">
        <v>1.9762845849802257E-2</v>
      </c>
      <c r="P91" s="38">
        <v>2.9249011857707341E-2</v>
      </c>
      <c r="Q91" s="38">
        <v>1.0000000000000009E-2</v>
      </c>
      <c r="R91" s="38">
        <v>6.9204152249136008E-3</v>
      </c>
      <c r="T91" s="1">
        <v>9</v>
      </c>
    </row>
    <row r="92" spans="1:20" x14ac:dyDescent="0.2">
      <c r="A92" s="1">
        <v>10</v>
      </c>
      <c r="C92" s="38">
        <v>9.2189500640205146E-3</v>
      </c>
      <c r="D92" s="38">
        <v>2.1062271062271209E-2</v>
      </c>
      <c r="E92" s="38">
        <v>1.1690647482014427E-2</v>
      </c>
      <c r="F92" s="38">
        <v>4.9627791563275903E-3</v>
      </c>
      <c r="H92" s="38">
        <v>8.7808172914556337E-3</v>
      </c>
      <c r="I92" s="38">
        <v>2.0219780219780326E-2</v>
      </c>
      <c r="J92" s="38">
        <v>2.9007633587786241E-2</v>
      </c>
      <c r="K92" s="38">
        <v>1.1375387797311287E-2</v>
      </c>
      <c r="L92" s="38">
        <v>5.7471264367816577E-3</v>
      </c>
      <c r="N92" s="38">
        <v>1.1160714285714191E-2</v>
      </c>
      <c r="O92" s="38">
        <v>2.024117140396231E-2</v>
      </c>
      <c r="P92" s="38">
        <v>2.8417818740399392E-2</v>
      </c>
      <c r="Q92" s="38">
        <v>1.1315417256011262E-2</v>
      </c>
      <c r="R92" s="38">
        <v>6.8728522336769515E-3</v>
      </c>
      <c r="T92" s="1">
        <v>10</v>
      </c>
    </row>
    <row r="93" spans="1:20" x14ac:dyDescent="0.2">
      <c r="A93" s="1">
        <v>11</v>
      </c>
      <c r="C93" s="38">
        <v>6.3435676224308235E-3</v>
      </c>
      <c r="D93" s="38">
        <v>2.1973094170403495E-2</v>
      </c>
      <c r="E93" s="38">
        <v>1.777777777777767E-2</v>
      </c>
      <c r="F93" s="38">
        <v>6.9135802469135754E-3</v>
      </c>
      <c r="H93" s="38">
        <v>4.3521928356209383E-3</v>
      </c>
      <c r="I93" s="38">
        <v>2.1111589831968924E-2</v>
      </c>
      <c r="J93" s="38">
        <v>2.9673590504450953E-2</v>
      </c>
      <c r="K93" s="38">
        <v>1.7382413087934534E-2</v>
      </c>
      <c r="L93" s="38">
        <v>5.7142857142857828E-3</v>
      </c>
      <c r="N93" s="38">
        <v>7.9470198675497539E-3</v>
      </c>
      <c r="O93" s="38">
        <v>2.068383284086095E-2</v>
      </c>
      <c r="P93" s="38">
        <v>2.9873039581777228E-2</v>
      </c>
      <c r="Q93" s="38">
        <v>2.2377622377622197E-2</v>
      </c>
      <c r="R93" s="38">
        <v>6.8259385665530026E-3</v>
      </c>
      <c r="T93" s="1">
        <v>11</v>
      </c>
    </row>
    <row r="94" spans="1:20" x14ac:dyDescent="0.2">
      <c r="A94" s="1">
        <v>12</v>
      </c>
      <c r="C94" s="38">
        <v>5.0428643469491163E-3</v>
      </c>
      <c r="D94" s="38">
        <v>2.3255813953488413E-2</v>
      </c>
      <c r="E94" s="38">
        <v>6.1135371179039666E-3</v>
      </c>
      <c r="F94" s="38">
        <v>5.8852378616969236E-3</v>
      </c>
      <c r="H94" s="38">
        <v>3.6666666666667069E-3</v>
      </c>
      <c r="I94" s="38">
        <v>2.2362869198312207E-2</v>
      </c>
      <c r="J94" s="38">
        <v>2.9538904899135243E-2</v>
      </c>
      <c r="K94" s="38">
        <v>4.020100502512669E-3</v>
      </c>
      <c r="L94" s="38">
        <v>5.6818181818181213E-3</v>
      </c>
      <c r="N94" s="38">
        <v>6.1322820849758486E-3</v>
      </c>
      <c r="O94" s="38">
        <v>2.1505376344086002E-2</v>
      </c>
      <c r="P94" s="38">
        <v>2.9731689630166702E-2</v>
      </c>
      <c r="Q94" s="38">
        <v>2.7359781121751858E-3</v>
      </c>
      <c r="R94" s="38">
        <v>1.0169491525423568E-2</v>
      </c>
      <c r="T94" s="1">
        <v>12</v>
      </c>
    </row>
    <row r="95" spans="1:20" x14ac:dyDescent="0.2">
      <c r="A95" s="1">
        <v>13</v>
      </c>
      <c r="C95" s="38">
        <v>4.7666833918715845E-3</v>
      </c>
      <c r="D95" s="38">
        <v>2.3156089193824947E-2</v>
      </c>
      <c r="E95" s="38">
        <v>-5.2083333333332593E-3</v>
      </c>
      <c r="F95" s="38">
        <v>4.875670404680621E-3</v>
      </c>
      <c r="H95" s="38">
        <v>6.3101959481899339E-3</v>
      </c>
      <c r="I95" s="38">
        <v>2.1460998761865469E-2</v>
      </c>
      <c r="J95" s="38">
        <v>2.8691392582225417E-2</v>
      </c>
      <c r="K95" s="38">
        <v>-8.0080080080080496E-3</v>
      </c>
      <c r="L95" s="38">
        <v>5.6497175141243527E-3</v>
      </c>
      <c r="N95" s="38">
        <v>5.6595559425338671E-3</v>
      </c>
      <c r="O95" s="38">
        <v>2.0242914979757165E-2</v>
      </c>
      <c r="P95" s="38">
        <v>2.8873239436619791E-2</v>
      </c>
      <c r="Q95" s="38">
        <v>-1.2278308321964526E-2</v>
      </c>
      <c r="R95" s="38">
        <v>6.7114093959732557E-3</v>
      </c>
      <c r="T95" s="1">
        <v>13</v>
      </c>
    </row>
    <row r="96" spans="1:20" x14ac:dyDescent="0.2">
      <c r="A96" s="1">
        <v>14</v>
      </c>
      <c r="C96" s="38">
        <v>7.4906367041194244E-4</v>
      </c>
      <c r="D96" s="38">
        <v>2.3470243084660725E-2</v>
      </c>
      <c r="E96" s="38">
        <v>-1.7452006980803736E-3</v>
      </c>
      <c r="F96" s="38">
        <v>6.3076176613294788E-3</v>
      </c>
      <c r="H96" s="38">
        <v>0</v>
      </c>
      <c r="I96" s="38">
        <v>2.1414141414141552E-2</v>
      </c>
      <c r="J96" s="38">
        <v>2.9251700680272164E-2</v>
      </c>
      <c r="K96" s="38">
        <v>-4.0363269424824599E-3</v>
      </c>
      <c r="L96" s="38">
        <v>5.6179775280897903E-3</v>
      </c>
      <c r="N96" s="38">
        <v>0</v>
      </c>
      <c r="O96" s="38">
        <v>2.0238095238095388E-2</v>
      </c>
      <c r="P96" s="38">
        <v>2.8747433264887157E-2</v>
      </c>
      <c r="Q96" s="38">
        <v>-6.906077348066253E-3</v>
      </c>
      <c r="R96" s="38">
        <v>1.0000000000000009E-2</v>
      </c>
      <c r="T96" s="1">
        <v>14</v>
      </c>
    </row>
    <row r="97" spans="1:20" x14ac:dyDescent="0.2">
      <c r="A97" s="1">
        <v>15</v>
      </c>
      <c r="C97" s="38">
        <v>7.4850299401196807E-4</v>
      </c>
      <c r="D97" s="38">
        <v>2.3341523341523285E-2</v>
      </c>
      <c r="E97" s="38">
        <v>3.4965034965035446E-3</v>
      </c>
      <c r="F97" s="38">
        <v>5.7859209257473676E-3</v>
      </c>
      <c r="H97" s="38">
        <v>-6.6006600660062364E-4</v>
      </c>
      <c r="I97" s="38">
        <v>2.1360759493670889E-2</v>
      </c>
      <c r="J97" s="38">
        <v>2.9742233972240628E-2</v>
      </c>
      <c r="K97" s="38">
        <v>1.0131712259373593E-3</v>
      </c>
      <c r="L97" s="38">
        <v>5.5865921787709993E-3</v>
      </c>
      <c r="N97" s="38">
        <v>0</v>
      </c>
      <c r="O97" s="38">
        <v>2.0614546868922501E-2</v>
      </c>
      <c r="P97" s="38">
        <v>2.9940119760479167E-2</v>
      </c>
      <c r="Q97" s="38">
        <v>0</v>
      </c>
      <c r="R97" s="38">
        <v>6.6006600660066805E-3</v>
      </c>
      <c r="T97" s="1">
        <v>15</v>
      </c>
    </row>
    <row r="98" spans="1:20" x14ac:dyDescent="0.2">
      <c r="A98" s="1">
        <v>16</v>
      </c>
      <c r="C98" s="38">
        <v>2.4931438544004703E-3</v>
      </c>
      <c r="D98" s="38">
        <v>2.400960384153672E-2</v>
      </c>
      <c r="E98" s="38">
        <v>1.3066202090592283E-2</v>
      </c>
      <c r="F98" s="38">
        <v>7.1907957813999168E-3</v>
      </c>
      <c r="H98" s="38">
        <v>1.6512549537648358E-3</v>
      </c>
      <c r="I98" s="38">
        <v>2.2075910147172806E-2</v>
      </c>
      <c r="J98" s="38">
        <v>3.0166880616174563E-2</v>
      </c>
      <c r="K98" s="38">
        <v>1.3157894736842035E-2</v>
      </c>
      <c r="L98" s="38">
        <v>5.5555555555555358E-3</v>
      </c>
      <c r="N98" s="38">
        <v>1.7316017316015841E-3</v>
      </c>
      <c r="O98" s="38">
        <v>2.1341463414634276E-2</v>
      </c>
      <c r="P98" s="38">
        <v>3.1007751937984551E-2</v>
      </c>
      <c r="Q98" s="38">
        <v>1.3908205841446364E-2</v>
      </c>
      <c r="R98" s="38">
        <v>6.5573770491802463E-3</v>
      </c>
      <c r="T98" s="1">
        <v>16</v>
      </c>
    </row>
    <row r="99" spans="1:20" x14ac:dyDescent="0.2">
      <c r="A99" s="1">
        <v>17</v>
      </c>
      <c r="C99" s="38">
        <v>3.9791096742103349E-3</v>
      </c>
      <c r="D99" s="38">
        <v>2.266510355607676E-2</v>
      </c>
      <c r="E99" s="38">
        <v>1.8056749785038573E-2</v>
      </c>
      <c r="F99" s="38">
        <v>9.043312708234108E-3</v>
      </c>
      <c r="H99" s="38">
        <v>3.6267721727663016E-3</v>
      </c>
      <c r="I99" s="38">
        <v>2.19780219780219E-2</v>
      </c>
      <c r="J99" s="38">
        <v>2.9906542056074681E-2</v>
      </c>
      <c r="K99" s="38">
        <v>1.6983016983016963E-2</v>
      </c>
      <c r="L99" s="38">
        <v>5.5248618784531356E-3</v>
      </c>
      <c r="N99" s="38">
        <v>5.1858254105445756E-3</v>
      </c>
      <c r="O99" s="38">
        <v>2.0895522388059584E-2</v>
      </c>
      <c r="P99" s="38">
        <v>3.007518796992481E-2</v>
      </c>
      <c r="Q99" s="38">
        <v>2.3319615912208436E-2</v>
      </c>
      <c r="R99" s="38">
        <v>6.514657980456029E-3</v>
      </c>
      <c r="T99" s="1">
        <v>17</v>
      </c>
    </row>
    <row r="100" spans="1:20" x14ac:dyDescent="0.2">
      <c r="A100" s="1">
        <v>18</v>
      </c>
      <c r="C100" s="38">
        <v>4.9541738915037659E-3</v>
      </c>
      <c r="D100" s="38">
        <v>2.3691249522353797E-2</v>
      </c>
      <c r="E100" s="38">
        <v>1.6047297297297147E-2</v>
      </c>
      <c r="F100" s="38">
        <v>8.0188679245283279E-3</v>
      </c>
      <c r="H100" s="38">
        <v>5.2562417871222511E-3</v>
      </c>
      <c r="I100" s="38">
        <v>2.3359288097886566E-2</v>
      </c>
      <c r="J100" s="38">
        <v>2.7828191167573957E-2</v>
      </c>
      <c r="K100" s="38">
        <v>1.6699410609037235E-2</v>
      </c>
      <c r="L100" s="38">
        <v>5.494505494505475E-3</v>
      </c>
      <c r="N100" s="38">
        <v>7.3086844368013271E-3</v>
      </c>
      <c r="O100" s="38">
        <v>2.3026315789473673E-2</v>
      </c>
      <c r="P100" s="38">
        <v>2.7980535279805263E-2</v>
      </c>
      <c r="Q100" s="38">
        <v>1.8766756032171594E-2</v>
      </c>
      <c r="R100" s="38">
        <v>9.7087378640776656E-3</v>
      </c>
      <c r="T100" s="1">
        <v>18</v>
      </c>
    </row>
    <row r="101" spans="1:20" x14ac:dyDescent="0.2">
      <c r="A101" s="1">
        <v>19</v>
      </c>
      <c r="C101" s="38">
        <v>4.6832634951934349E-3</v>
      </c>
      <c r="D101" s="38">
        <v>2.3516237402015694E-2</v>
      </c>
      <c r="E101" s="38">
        <v>1.5793848711554537E-2</v>
      </c>
      <c r="F101" s="38">
        <v>7.4871314927469346E-3</v>
      </c>
      <c r="H101" s="38">
        <v>4.9019607843137081E-3</v>
      </c>
      <c r="I101" s="38">
        <v>2.2826086956521774E-2</v>
      </c>
      <c r="J101" s="38">
        <v>3.0606238964096644E-2</v>
      </c>
      <c r="K101" s="38">
        <v>1.5458937198067568E-2</v>
      </c>
      <c r="L101" s="38">
        <v>5.464480874316946E-3</v>
      </c>
      <c r="N101" s="38">
        <v>6.4020486555698142E-3</v>
      </c>
      <c r="O101" s="38">
        <v>2.2865309038942572E-2</v>
      </c>
      <c r="P101" s="38">
        <v>3.017751479289954E-2</v>
      </c>
      <c r="Q101" s="38">
        <v>1.8421052631579116E-2</v>
      </c>
      <c r="R101" s="38">
        <v>6.4102564102563875E-3</v>
      </c>
      <c r="T101" s="1">
        <v>19</v>
      </c>
    </row>
    <row r="102" spans="1:20" x14ac:dyDescent="0.2">
      <c r="A102" s="1">
        <v>20</v>
      </c>
      <c r="C102" s="38">
        <v>3.6800785083415111E-3</v>
      </c>
      <c r="D102" s="38">
        <v>2.3340627279357928E-2</v>
      </c>
      <c r="E102" s="38">
        <v>1.5548281505728179E-2</v>
      </c>
      <c r="F102" s="38">
        <v>7.4314909428703224E-3</v>
      </c>
      <c r="H102" s="38">
        <v>3.5772357723578008E-3</v>
      </c>
      <c r="I102" s="38">
        <v>2.3025150549061291E-2</v>
      </c>
      <c r="J102" s="38">
        <v>2.9697315819531722E-2</v>
      </c>
      <c r="K102" s="38">
        <v>1.5223596574690745E-2</v>
      </c>
      <c r="L102" s="38">
        <v>8.152173913043459E-3</v>
      </c>
      <c r="N102" s="38">
        <v>5.9372349448685302E-3</v>
      </c>
      <c r="O102" s="38">
        <v>2.2703457911281921E-2</v>
      </c>
      <c r="P102" s="38">
        <v>2.9867892016082642E-2</v>
      </c>
      <c r="Q102" s="38">
        <v>1.9379844961240345E-2</v>
      </c>
      <c r="R102" s="38">
        <v>6.3694267515923553E-3</v>
      </c>
      <c r="T102" s="1">
        <v>20</v>
      </c>
    </row>
    <row r="103" spans="1:20" x14ac:dyDescent="0.2">
      <c r="A103" s="1">
        <v>21</v>
      </c>
      <c r="C103" s="38">
        <v>1.7110730872647029E-3</v>
      </c>
      <c r="D103" s="38">
        <v>2.3164647184604537E-2</v>
      </c>
      <c r="E103" s="38">
        <v>1.4504431909750259E-2</v>
      </c>
      <c r="F103" s="38">
        <v>7.8377132319040754E-3</v>
      </c>
      <c r="H103" s="38">
        <v>1.2961762799741372E-3</v>
      </c>
      <c r="I103" s="38">
        <v>2.2506925207756323E-2</v>
      </c>
      <c r="J103" s="38">
        <v>2.9395452024403745E-2</v>
      </c>
      <c r="K103" s="38">
        <v>1.4058106841612128E-2</v>
      </c>
      <c r="L103" s="38">
        <v>5.3908355795149188E-3</v>
      </c>
      <c r="N103" s="38">
        <v>3.7942664418213479E-3</v>
      </c>
      <c r="O103" s="38">
        <v>2.2540983606557319E-2</v>
      </c>
      <c r="P103" s="38">
        <v>2.9559397657557218E-2</v>
      </c>
      <c r="Q103" s="38">
        <v>1.7743979721166037E-2</v>
      </c>
      <c r="R103" s="38">
        <v>6.3291139240506666E-3</v>
      </c>
      <c r="T103" s="1">
        <v>21</v>
      </c>
    </row>
    <row r="104" spans="1:20" x14ac:dyDescent="0.2">
      <c r="A104" s="1">
        <v>22</v>
      </c>
      <c r="C104" s="38">
        <v>2.6842362127867947E-3</v>
      </c>
      <c r="D104" s="38">
        <v>2.3685127133403094E-2</v>
      </c>
      <c r="E104" s="38">
        <v>1.0325655281969937E-2</v>
      </c>
      <c r="F104" s="38">
        <v>6.4043915827995956E-3</v>
      </c>
      <c r="H104" s="38">
        <v>4.5307443365696365E-3</v>
      </c>
      <c r="I104" s="38">
        <v>2.3027429732475513E-2</v>
      </c>
      <c r="J104" s="38">
        <v>2.8017241379310276E-2</v>
      </c>
      <c r="K104" s="38">
        <v>1.0166358595194103E-2</v>
      </c>
      <c r="L104" s="38">
        <v>8.0428954423592547E-3</v>
      </c>
      <c r="N104" s="38">
        <v>7.139857202856037E-3</v>
      </c>
      <c r="O104" s="38">
        <v>2.2378089512357979E-2</v>
      </c>
      <c r="P104" s="38">
        <v>2.8169014084507005E-2</v>
      </c>
      <c r="Q104" s="38">
        <v>1.1207970112079746E-2</v>
      </c>
      <c r="R104" s="38">
        <v>6.2893081761006275E-3</v>
      </c>
      <c r="T104" s="1">
        <v>22</v>
      </c>
    </row>
    <row r="105" spans="1:20" x14ac:dyDescent="0.2">
      <c r="A105" s="1">
        <v>23</v>
      </c>
      <c r="C105" s="38">
        <v>6.0842054027743231E-3</v>
      </c>
      <c r="D105" s="38">
        <v>2.5178632187818906E-2</v>
      </c>
      <c r="E105" s="38">
        <v>1.6509433962264008E-2</v>
      </c>
      <c r="F105" s="38">
        <v>7.2727272727273196E-3</v>
      </c>
      <c r="H105" s="38">
        <v>7.4097938144330744E-3</v>
      </c>
      <c r="I105" s="38">
        <v>2.4495200264812889E-2</v>
      </c>
      <c r="J105" s="38">
        <v>2.9350104821803003E-2</v>
      </c>
      <c r="K105" s="38">
        <v>1.6468435498627532E-2</v>
      </c>
      <c r="L105" s="38">
        <v>7.9787234042554278E-3</v>
      </c>
      <c r="N105" s="38">
        <v>1.0842368640533673E-2</v>
      </c>
      <c r="O105" s="38">
        <v>2.4501796798431785E-2</v>
      </c>
      <c r="P105" s="38">
        <v>2.9504741833508819E-2</v>
      </c>
      <c r="Q105" s="38">
        <v>1.9704433497536922E-2</v>
      </c>
      <c r="R105" s="38">
        <v>6.2500000000000888E-3</v>
      </c>
      <c r="T105" s="1">
        <v>23</v>
      </c>
    </row>
    <row r="106" spans="1:20" x14ac:dyDescent="0.2">
      <c r="A106" s="1">
        <v>24</v>
      </c>
      <c r="C106" s="38">
        <v>7.9825834542814889E-3</v>
      </c>
      <c r="D106" s="38">
        <v>2.3564553601062022E-2</v>
      </c>
      <c r="E106" s="38">
        <v>3.0935808197989134E-2</v>
      </c>
      <c r="F106" s="38">
        <v>9.0252707581226499E-3</v>
      </c>
      <c r="H106" s="38">
        <v>8.6344739366805978E-3</v>
      </c>
      <c r="I106" s="38">
        <v>2.35864297253634E-2</v>
      </c>
      <c r="J106" s="38">
        <v>4.4297352342158813E-2</v>
      </c>
      <c r="K106" s="38">
        <v>3.2403240324032412E-2</v>
      </c>
      <c r="L106" s="38">
        <v>1.055408970976246E-2</v>
      </c>
      <c r="N106" s="38">
        <v>1.2788778877887985E-2</v>
      </c>
      <c r="O106" s="38">
        <v>2.3596938775510168E-2</v>
      </c>
      <c r="P106" s="38">
        <v>4.4524053224155535E-2</v>
      </c>
      <c r="Q106" s="38">
        <v>4.106280193236711E-2</v>
      </c>
      <c r="R106" s="38">
        <v>9.3167701863352548E-3</v>
      </c>
      <c r="T106" s="1">
        <v>24</v>
      </c>
    </row>
    <row r="107" spans="1:20" x14ac:dyDescent="0.2">
      <c r="A107" s="1">
        <v>25</v>
      </c>
      <c r="C107" s="38">
        <v>8.8792896568274937E-3</v>
      </c>
      <c r="D107" s="38">
        <v>2.3022049286640645E-2</v>
      </c>
      <c r="E107" s="38">
        <v>3.2258064516129004E-2</v>
      </c>
      <c r="F107" s="38">
        <v>9.8389982110911323E-3</v>
      </c>
      <c r="H107" s="38">
        <v>9.8287888395689471E-3</v>
      </c>
      <c r="I107" s="38">
        <v>2.2411616161616132E-2</v>
      </c>
      <c r="J107" s="38">
        <v>5.3632374451487053E-2</v>
      </c>
      <c r="K107" s="38">
        <v>3.4001743679162866E-2</v>
      </c>
      <c r="L107" s="38">
        <v>7.8328981723236879E-3</v>
      </c>
      <c r="N107" s="38">
        <v>1.3441955193482569E-2</v>
      </c>
      <c r="O107" s="38">
        <v>2.1806853582554409E-2</v>
      </c>
      <c r="P107" s="38">
        <v>5.3895149436550716E-2</v>
      </c>
      <c r="Q107" s="38">
        <v>4.176334106728552E-2</v>
      </c>
      <c r="R107" s="38">
        <v>9.2307692307691536E-3</v>
      </c>
      <c r="T107" s="1">
        <v>25</v>
      </c>
    </row>
    <row r="108" spans="1:20" x14ac:dyDescent="0.2">
      <c r="A108" s="1">
        <v>26</v>
      </c>
      <c r="C108" s="38">
        <v>5.2331113225498882E-3</v>
      </c>
      <c r="D108" s="38">
        <v>2.2187004754358197E-2</v>
      </c>
      <c r="E108" s="38">
        <v>1.5261627906976827E-2</v>
      </c>
      <c r="F108" s="38">
        <v>7.5287865367583695E-3</v>
      </c>
      <c r="H108" s="38">
        <v>5.6514913657770283E-3</v>
      </c>
      <c r="I108" s="38">
        <v>2.1611608521148629E-2</v>
      </c>
      <c r="J108" s="38">
        <v>3.7945395650162084E-2</v>
      </c>
      <c r="K108" s="38">
        <v>1.7706576728499179E-2</v>
      </c>
      <c r="L108" s="38">
        <v>7.7720207253886286E-3</v>
      </c>
      <c r="N108" s="38">
        <v>8.0385852090032461E-3</v>
      </c>
      <c r="O108" s="38">
        <v>2.1341463414634276E-2</v>
      </c>
      <c r="P108" s="38">
        <v>3.7656903765690419E-2</v>
      </c>
      <c r="Q108" s="38">
        <v>2.2271714922048824E-2</v>
      </c>
      <c r="R108" s="38">
        <v>9.1463414634147533E-3</v>
      </c>
      <c r="T108" s="1">
        <v>26</v>
      </c>
    </row>
    <row r="109" spans="1:20" x14ac:dyDescent="0.2">
      <c r="A109" s="1">
        <v>27</v>
      </c>
      <c r="C109" s="38">
        <v>4.0227165168007506E-3</v>
      </c>
      <c r="D109" s="38">
        <v>2.170542635658923E-2</v>
      </c>
      <c r="E109" s="38">
        <v>1.1453113815318439E-2</v>
      </c>
      <c r="F109" s="38">
        <v>7.0329670329669636E-3</v>
      </c>
      <c r="H109" s="38">
        <v>4.3709022791134089E-3</v>
      </c>
      <c r="I109" s="38">
        <v>2.1154427319431734E-2</v>
      </c>
      <c r="J109" s="38">
        <v>3.120820329915297E-2</v>
      </c>
      <c r="K109" s="38">
        <v>1.2427506213753103E-2</v>
      </c>
      <c r="L109" s="38">
        <v>1.0282776349614497E-2</v>
      </c>
      <c r="N109" s="38">
        <v>6.3795853269537073E-3</v>
      </c>
      <c r="O109" s="38">
        <v>2.1194029850746254E-2</v>
      </c>
      <c r="P109" s="38">
        <v>3.1810035842293916E-2</v>
      </c>
      <c r="Q109" s="38">
        <v>1.7429193899782147E-2</v>
      </c>
      <c r="R109" s="38">
        <v>9.0634441087613649E-3</v>
      </c>
      <c r="T109" s="1">
        <v>27</v>
      </c>
    </row>
    <row r="110" spans="1:20" x14ac:dyDescent="0.2">
      <c r="A110" s="1">
        <v>28</v>
      </c>
      <c r="C110" s="38">
        <v>4.2422814046665369E-3</v>
      </c>
      <c r="D110" s="38">
        <v>2.2154779969650873E-2</v>
      </c>
      <c r="E110" s="38">
        <v>1.0615711252653925E-2</v>
      </c>
      <c r="F110" s="38">
        <v>6.5473592317764062E-3</v>
      </c>
      <c r="H110" s="38">
        <v>4.3518806341311667E-3</v>
      </c>
      <c r="I110" s="38">
        <v>2.160402485942603E-2</v>
      </c>
      <c r="J110" s="38">
        <v>3.1560743623000542E-2</v>
      </c>
      <c r="K110" s="38">
        <v>1.3093289689034338E-2</v>
      </c>
      <c r="L110" s="38">
        <v>7.6335877862594437E-3</v>
      </c>
      <c r="N110" s="38">
        <v>6.3391442155309452E-3</v>
      </c>
      <c r="O110" s="38">
        <v>2.1338789827535676E-2</v>
      </c>
      <c r="P110" s="38">
        <v>3.1697785497177611E-2</v>
      </c>
      <c r="Q110" s="38">
        <v>1.7130620985010614E-2</v>
      </c>
      <c r="R110" s="38">
        <v>1.1976047904191711E-2</v>
      </c>
      <c r="T110" s="1">
        <v>28</v>
      </c>
    </row>
    <row r="111" spans="1:20" x14ac:dyDescent="0.2">
      <c r="A111" s="1">
        <v>29</v>
      </c>
      <c r="C111" s="38">
        <v>3.989673785496306E-3</v>
      </c>
      <c r="D111" s="38">
        <v>2.1971496437054761E-2</v>
      </c>
      <c r="E111" s="38">
        <v>1.1204481792717047E-2</v>
      </c>
      <c r="F111" s="38">
        <v>6.5047701647875655E-3</v>
      </c>
      <c r="H111" s="38">
        <v>4.0235221293716261E-3</v>
      </c>
      <c r="I111" s="38">
        <v>2.1726535341830777E-2</v>
      </c>
      <c r="J111" s="38">
        <v>3.1433361274098903E-2</v>
      </c>
      <c r="K111" s="38">
        <v>1.2924071082390798E-2</v>
      </c>
      <c r="L111" s="38">
        <v>7.575757575757569E-3</v>
      </c>
      <c r="N111" s="38">
        <v>6.2992125984251413E-3</v>
      </c>
      <c r="O111" s="38">
        <v>2.1179164281625695E-2</v>
      </c>
      <c r="P111" s="38">
        <v>3.1144781144781142E-2</v>
      </c>
      <c r="Q111" s="38">
        <v>1.6842105263157992E-2</v>
      </c>
      <c r="R111" s="38">
        <v>8.8757396449705706E-3</v>
      </c>
      <c r="T111" s="1">
        <v>29</v>
      </c>
    </row>
    <row r="112" spans="1:20" x14ac:dyDescent="0.2">
      <c r="A112" s="1">
        <v>30</v>
      </c>
      <c r="C112" s="38">
        <v>4.2075736325386526E-3</v>
      </c>
      <c r="D112" s="38">
        <v>2.2370714700755245E-2</v>
      </c>
      <c r="E112" s="38">
        <v>1.1772853185595622E-2</v>
      </c>
      <c r="F112" s="38">
        <v>6.8935803532959028E-3</v>
      </c>
      <c r="H112" s="38">
        <v>4.3156596794080571E-3</v>
      </c>
      <c r="I112" s="38">
        <v>2.1831584916359503E-2</v>
      </c>
      <c r="J112" s="38">
        <v>3.1288094270621736E-2</v>
      </c>
      <c r="K112" s="38">
        <v>1.2759170653907415E-2</v>
      </c>
      <c r="L112" s="38">
        <v>1.0025062656641603E-2</v>
      </c>
      <c r="N112" s="38">
        <v>6.6510172143976476E-3</v>
      </c>
      <c r="O112" s="38">
        <v>2.1580717488789425E-2</v>
      </c>
      <c r="P112" s="38">
        <v>3.1428571428571361E-2</v>
      </c>
      <c r="Q112" s="38">
        <v>1.6563146997929712E-2</v>
      </c>
      <c r="R112" s="38">
        <v>8.7976539589442737E-3</v>
      </c>
      <c r="T112" s="1">
        <v>30</v>
      </c>
    </row>
    <row r="114" spans="1:20" ht="15.75" x14ac:dyDescent="0.25">
      <c r="A114" s="31" t="s">
        <v>249</v>
      </c>
      <c r="B114" s="4"/>
      <c r="C114" s="4"/>
      <c r="D114" s="4"/>
      <c r="E114" s="4"/>
      <c r="F114" s="4"/>
      <c r="G114" s="4"/>
      <c r="H114" s="4"/>
      <c r="I114" s="4"/>
      <c r="J114" s="4"/>
      <c r="K114" s="4"/>
      <c r="L114" s="4"/>
      <c r="M114" s="4"/>
      <c r="N114" s="4"/>
      <c r="O114" s="4"/>
      <c r="P114" s="4"/>
      <c r="Q114" s="4"/>
      <c r="R114" s="4"/>
      <c r="S114" s="4"/>
      <c r="T114" s="31"/>
    </row>
    <row r="115" spans="1:20" ht="15.75" x14ac:dyDescent="0.25">
      <c r="A115" s="31" t="s">
        <v>117</v>
      </c>
      <c r="B115" s="4"/>
      <c r="C115" s="4"/>
      <c r="D115" s="4"/>
      <c r="E115" s="4"/>
      <c r="F115" s="4"/>
      <c r="G115" s="4"/>
      <c r="H115" s="4"/>
      <c r="I115" s="4"/>
      <c r="J115" s="4"/>
      <c r="K115" s="4"/>
      <c r="L115" s="4"/>
      <c r="M115" s="4"/>
      <c r="N115" s="4"/>
      <c r="O115" s="4"/>
      <c r="P115" s="4"/>
      <c r="Q115" s="4"/>
      <c r="R115" s="4"/>
      <c r="S115" s="4"/>
      <c r="T115" s="31"/>
    </row>
    <row r="116" spans="1:20" ht="15.75" x14ac:dyDescent="0.25">
      <c r="A116" s="31" t="s">
        <v>156</v>
      </c>
      <c r="B116" s="4"/>
      <c r="C116" s="4"/>
      <c r="D116" s="4"/>
      <c r="E116" s="4"/>
      <c r="F116" s="4"/>
      <c r="G116" s="4"/>
      <c r="H116" s="4"/>
      <c r="I116" s="4"/>
      <c r="J116" s="4"/>
      <c r="K116" s="4"/>
      <c r="L116" s="4"/>
      <c r="M116" s="4"/>
      <c r="N116" s="4"/>
      <c r="O116" s="4"/>
      <c r="P116" s="4"/>
      <c r="Q116" s="4"/>
      <c r="R116" s="4"/>
      <c r="S116" s="4"/>
      <c r="T116" s="4"/>
    </row>
    <row r="117" spans="1:20" ht="7.5" customHeight="1" x14ac:dyDescent="0.25">
      <c r="A117" s="30"/>
      <c r="C117"/>
      <c r="T117"/>
    </row>
    <row r="118" spans="1:20" x14ac:dyDescent="0.2">
      <c r="C118" s="25" t="s">
        <v>122</v>
      </c>
      <c r="D118" s="25"/>
      <c r="E118" s="25"/>
      <c r="F118" s="25"/>
      <c r="H118" s="25" t="s">
        <v>123</v>
      </c>
      <c r="I118" s="25"/>
      <c r="J118" s="25"/>
      <c r="K118" s="25"/>
      <c r="L118" s="4"/>
      <c r="N118" s="25" t="s">
        <v>124</v>
      </c>
      <c r="O118" s="25"/>
      <c r="P118" s="25"/>
      <c r="Q118" s="25"/>
      <c r="R118" s="4"/>
    </row>
    <row r="119" spans="1:20" x14ac:dyDescent="0.2">
      <c r="A119" s="1" t="s">
        <v>41</v>
      </c>
      <c r="C119" s="1" t="s">
        <v>32</v>
      </c>
      <c r="D119" s="1" t="s">
        <v>125</v>
      </c>
      <c r="E119" s="1" t="s">
        <v>33</v>
      </c>
      <c r="F119" s="1" t="s">
        <v>126</v>
      </c>
      <c r="G119" s="1"/>
      <c r="H119" s="1" t="s">
        <v>32</v>
      </c>
      <c r="I119" s="1" t="s">
        <v>125</v>
      </c>
      <c r="J119" s="1" t="s">
        <v>127</v>
      </c>
      <c r="K119" s="1" t="s">
        <v>33</v>
      </c>
      <c r="L119" s="1" t="s">
        <v>128</v>
      </c>
      <c r="M119" s="1"/>
      <c r="N119" s="1" t="s">
        <v>32</v>
      </c>
      <c r="O119" s="1" t="s">
        <v>125</v>
      </c>
      <c r="P119" s="1" t="s">
        <v>127</v>
      </c>
      <c r="Q119" s="1" t="s">
        <v>33</v>
      </c>
      <c r="R119" s="1" t="s">
        <v>128</v>
      </c>
      <c r="T119" s="1" t="s">
        <v>41</v>
      </c>
    </row>
    <row r="120" spans="1:20" x14ac:dyDescent="0.2">
      <c r="A120" s="1">
        <v>1</v>
      </c>
      <c r="C120" s="38">
        <v>2.836451418225705E-2</v>
      </c>
      <c r="D120" s="38">
        <v>-1.6352824578790837E-2</v>
      </c>
      <c r="E120" s="38">
        <v>-1.2965964343598091E-2</v>
      </c>
      <c r="F120" s="38">
        <v>8.9590443686005106E-3</v>
      </c>
      <c r="H120" s="38">
        <v>1.3771186440677985E-2</v>
      </c>
      <c r="I120" s="38">
        <v>-1.6056196688409408E-2</v>
      </c>
      <c r="J120" s="38">
        <v>7.692307692307665E-3</v>
      </c>
      <c r="K120" s="38">
        <v>-1.7910447761194215E-2</v>
      </c>
      <c r="L120" s="38">
        <v>6.5359477124182774E-3</v>
      </c>
      <c r="N120" s="38">
        <v>3.1152647975076775E-3</v>
      </c>
      <c r="O120" s="38">
        <v>-1.6757023164120199E-2</v>
      </c>
      <c r="P120" s="38">
        <v>9.3220338983051043E-3</v>
      </c>
      <c r="Q120" s="38">
        <v>-4.2316258351893232E-2</v>
      </c>
      <c r="R120" s="38">
        <v>1.025641025641022E-2</v>
      </c>
      <c r="T120" s="1">
        <v>1</v>
      </c>
    </row>
    <row r="121" spans="1:20" x14ac:dyDescent="0.2">
      <c r="A121" s="1">
        <v>2</v>
      </c>
      <c r="C121" s="38">
        <v>1.0856807511737232E-2</v>
      </c>
      <c r="D121" s="38">
        <v>3.1738035264483599E-2</v>
      </c>
      <c r="E121" s="38">
        <v>-1.4778325123152691E-2</v>
      </c>
      <c r="F121" s="38">
        <v>2.7061310782241055E-2</v>
      </c>
      <c r="H121" s="38">
        <v>4.5280390107975688E-3</v>
      </c>
      <c r="I121" s="38">
        <v>3.4676185619581856E-2</v>
      </c>
      <c r="J121" s="38">
        <v>6.1068702290076438E-2</v>
      </c>
      <c r="K121" s="38">
        <v>-3.3434650455927084E-2</v>
      </c>
      <c r="L121" s="38">
        <v>1.0822510822510845E-2</v>
      </c>
      <c r="N121" s="38">
        <v>-1.5527950310559868E-3</v>
      </c>
      <c r="O121" s="38">
        <v>2.2556390977443552E-2</v>
      </c>
      <c r="P121" s="38">
        <v>6.2972292191435741E-2</v>
      </c>
      <c r="Q121" s="38">
        <v>4.8837209302325491E-2</v>
      </c>
      <c r="R121" s="38">
        <v>1.5228426395939021E-2</v>
      </c>
      <c r="T121" s="1">
        <v>2</v>
      </c>
    </row>
    <row r="122" spans="1:20" x14ac:dyDescent="0.2">
      <c r="A122" s="1">
        <v>3</v>
      </c>
      <c r="C122" s="38">
        <v>-4.6444121915820702E-3</v>
      </c>
      <c r="D122" s="38">
        <v>3.41796875E-3</v>
      </c>
      <c r="E122" s="38">
        <v>3.3333333333331883E-3</v>
      </c>
      <c r="F122" s="38">
        <v>9.8806093042405063E-3</v>
      </c>
      <c r="H122" s="38">
        <v>-7.628294036061023E-3</v>
      </c>
      <c r="I122" s="38">
        <v>5.4213898472152966E-3</v>
      </c>
      <c r="J122" s="38">
        <v>5.5955235811351312E-3</v>
      </c>
      <c r="K122" s="38">
        <v>-1.3626834381551212E-2</v>
      </c>
      <c r="L122" s="38">
        <v>0</v>
      </c>
      <c r="N122" s="38">
        <v>-1.1404872991187087E-2</v>
      </c>
      <c r="O122" s="38">
        <v>1.9607843137257053E-3</v>
      </c>
      <c r="P122" s="38">
        <v>7.1090047393365108E-3</v>
      </c>
      <c r="Q122" s="38">
        <v>7.5388026607538849E-2</v>
      </c>
      <c r="R122" s="38">
        <v>2.4999999999999467E-3</v>
      </c>
      <c r="T122" s="1">
        <v>3</v>
      </c>
    </row>
    <row r="123" spans="1:20" x14ac:dyDescent="0.2">
      <c r="A123" s="1">
        <v>4</v>
      </c>
      <c r="C123" s="38">
        <v>1.7497812773403787E-3</v>
      </c>
      <c r="D123" s="38">
        <v>9.2457420924572098E-3</v>
      </c>
      <c r="E123" s="38">
        <v>3.488372093023262E-2</v>
      </c>
      <c r="F123" s="38">
        <v>7.7456176110883845E-3</v>
      </c>
      <c r="H123" s="38">
        <v>1.0482180293500676E-3</v>
      </c>
      <c r="I123" s="38">
        <v>1.1274509803921529E-2</v>
      </c>
      <c r="J123" s="38">
        <v>1.669316375198715E-2</v>
      </c>
      <c r="K123" s="38">
        <v>3.5069075451647169E-2</v>
      </c>
      <c r="L123" s="38">
        <v>8.565310492505418E-3</v>
      </c>
      <c r="N123" s="38">
        <v>1.0487676979549221E-3</v>
      </c>
      <c r="O123" s="38">
        <v>1.2230919765166437E-2</v>
      </c>
      <c r="P123" s="38">
        <v>1.5686274509803866E-2</v>
      </c>
      <c r="Q123" s="38">
        <v>7.8350515463917692E-2</v>
      </c>
      <c r="R123" s="38">
        <v>4.9875311720699589E-3</v>
      </c>
      <c r="T123" s="1">
        <v>4</v>
      </c>
    </row>
    <row r="124" spans="1:20" x14ac:dyDescent="0.2">
      <c r="A124" s="1">
        <v>5</v>
      </c>
      <c r="C124" s="38">
        <v>1.6302765647743689E-2</v>
      </c>
      <c r="D124" s="38">
        <v>1.2536162005786E-2</v>
      </c>
      <c r="E124" s="38">
        <v>4.7351524879614804E-2</v>
      </c>
      <c r="F124" s="38">
        <v>4.4498381877022819E-3</v>
      </c>
      <c r="H124" s="38">
        <v>1.4659685863874339E-2</v>
      </c>
      <c r="I124" s="38">
        <v>1.405719825496865E-2</v>
      </c>
      <c r="J124" s="38">
        <v>2.0328381548084584E-2</v>
      </c>
      <c r="K124" s="38">
        <v>5.3388090349075989E-2</v>
      </c>
      <c r="L124" s="38">
        <v>1.2738853503184711E-2</v>
      </c>
      <c r="N124" s="38">
        <v>1.5715034049240462E-2</v>
      </c>
      <c r="O124" s="38">
        <v>1.4983083615273118E-2</v>
      </c>
      <c r="P124" s="38">
        <v>2.0077220077220126E-2</v>
      </c>
      <c r="Q124" s="38">
        <v>8.7954110898661453E-2</v>
      </c>
      <c r="R124" s="38">
        <v>1.2406947890818865E-2</v>
      </c>
      <c r="T124" s="1">
        <v>5</v>
      </c>
    </row>
    <row r="125" spans="1:20" x14ac:dyDescent="0.2">
      <c r="A125" s="1">
        <v>6</v>
      </c>
      <c r="C125" s="38">
        <v>1.7473503294185289E-2</v>
      </c>
      <c r="D125" s="38">
        <v>1.7142857142857126E-2</v>
      </c>
      <c r="E125" s="38">
        <v>3.1417624521072884E-2</v>
      </c>
      <c r="F125" s="38">
        <v>4.4301248489730938E-3</v>
      </c>
      <c r="H125" s="38">
        <v>1.754385964912264E-2</v>
      </c>
      <c r="I125" s="38">
        <v>1.7686424474187223E-2</v>
      </c>
      <c r="J125" s="38">
        <v>2.3754789272030452E-2</v>
      </c>
      <c r="K125" s="38">
        <v>3.5087719298245501E-2</v>
      </c>
      <c r="L125" s="38">
        <v>1.4675052410901612E-2</v>
      </c>
      <c r="N125" s="38">
        <v>1.5471892728210479E-2</v>
      </c>
      <c r="O125" s="38">
        <v>1.8571428571428683E-2</v>
      </c>
      <c r="P125" s="38">
        <v>2.4224072672217822E-2</v>
      </c>
      <c r="Q125" s="38">
        <v>4.7451669595782064E-2</v>
      </c>
      <c r="R125" s="38">
        <v>1.4705882352941124E-2</v>
      </c>
      <c r="T125" s="1">
        <v>6</v>
      </c>
    </row>
    <row r="126" spans="1:20" x14ac:dyDescent="0.2">
      <c r="A126" s="1">
        <v>7</v>
      </c>
      <c r="C126" s="38">
        <v>9.009009009008917E-3</v>
      </c>
      <c r="D126" s="38">
        <v>1.8726591760299671E-2</v>
      </c>
      <c r="E126" s="38">
        <v>1.4115898959881079E-2</v>
      </c>
      <c r="F126" s="38">
        <v>4.4105854049718562E-3</v>
      </c>
      <c r="H126" s="38">
        <v>8.7897227856661431E-3</v>
      </c>
      <c r="I126" s="38">
        <v>2.2076092062001118E-2</v>
      </c>
      <c r="J126" s="38">
        <v>2.5449101796407136E-2</v>
      </c>
      <c r="K126" s="38">
        <v>1.5065913370998052E-2</v>
      </c>
      <c r="L126" s="38">
        <v>1.0330578512396604E-2</v>
      </c>
      <c r="N126" s="38">
        <v>7.6180802437784134E-3</v>
      </c>
      <c r="O126" s="38">
        <v>2.4310425432445104E-2</v>
      </c>
      <c r="P126" s="38">
        <v>2.512934220251295E-2</v>
      </c>
      <c r="Q126" s="38">
        <v>1.6778523489932917E-2</v>
      </c>
      <c r="R126" s="38">
        <v>1.2077294685990614E-2</v>
      </c>
      <c r="T126" s="1">
        <v>7</v>
      </c>
    </row>
    <row r="127" spans="1:20" x14ac:dyDescent="0.2">
      <c r="A127" s="1">
        <v>8</v>
      </c>
      <c r="C127" s="38">
        <v>8.9285714285711748E-3</v>
      </c>
      <c r="D127" s="38">
        <v>1.9761029411764719E-2</v>
      </c>
      <c r="E127" s="38">
        <v>1.46520146520146E-2</v>
      </c>
      <c r="F127" s="38">
        <v>6.3872255489021423E-3</v>
      </c>
      <c r="H127" s="38">
        <v>9.3833780160859082E-3</v>
      </c>
      <c r="I127" s="38">
        <v>2.0680147058823595E-2</v>
      </c>
      <c r="J127" s="38">
        <v>2.6277372262773824E-2</v>
      </c>
      <c r="K127" s="38">
        <v>1.6697588126159735E-2</v>
      </c>
      <c r="L127" s="38">
        <v>4.0899795501023739E-3</v>
      </c>
      <c r="N127" s="38">
        <v>8.5685483870967527E-3</v>
      </c>
      <c r="O127" s="38">
        <v>2.099497946143325E-2</v>
      </c>
      <c r="P127" s="38">
        <v>2.5955299206921412E-2</v>
      </c>
      <c r="Q127" s="38">
        <v>1.980198019801982E-2</v>
      </c>
      <c r="R127" s="38">
        <v>4.7732696897373472E-3</v>
      </c>
      <c r="T127" s="1">
        <v>8</v>
      </c>
    </row>
    <row r="128" spans="1:20" x14ac:dyDescent="0.2">
      <c r="A128" s="1">
        <v>9</v>
      </c>
      <c r="C128" s="38">
        <v>3.3185840707965486E-3</v>
      </c>
      <c r="D128" s="38">
        <v>1.9828751689950241E-2</v>
      </c>
      <c r="E128" s="38">
        <v>1.5884476534296033E-2</v>
      </c>
      <c r="F128" s="38">
        <v>5.5533518445061159E-3</v>
      </c>
      <c r="H128" s="38">
        <v>1.9920318725099584E-3</v>
      </c>
      <c r="I128" s="38">
        <v>2.0261143628995892E-2</v>
      </c>
      <c r="J128" s="38">
        <v>2.631578947368407E-2</v>
      </c>
      <c r="K128" s="38">
        <v>1.642335766423364E-2</v>
      </c>
      <c r="L128" s="38">
        <v>2.0366598778003286E-3</v>
      </c>
      <c r="N128" s="38">
        <v>4.997501249375258E-3</v>
      </c>
      <c r="O128" s="38">
        <v>1.9669199821189087E-2</v>
      </c>
      <c r="P128" s="38">
        <v>2.6001405481377304E-2</v>
      </c>
      <c r="Q128" s="38">
        <v>1.7799352750809128E-2</v>
      </c>
      <c r="R128" s="38">
        <v>2.3752969121140222E-3</v>
      </c>
      <c r="T128" s="1">
        <v>9</v>
      </c>
    </row>
    <row r="129" spans="1:20" x14ac:dyDescent="0.2">
      <c r="A129" s="1">
        <v>10</v>
      </c>
      <c r="C129" s="38">
        <v>7.4421168687981432E-3</v>
      </c>
      <c r="D129" s="38">
        <v>1.9885108263367091E-2</v>
      </c>
      <c r="E129" s="38">
        <v>1.3503909026296945E-2</v>
      </c>
      <c r="F129" s="38">
        <v>5.9171597633136397E-3</v>
      </c>
      <c r="H129" s="38">
        <v>7.2895957587806315E-3</v>
      </c>
      <c r="I129" s="38">
        <v>2.0300088261253402E-2</v>
      </c>
      <c r="J129" s="38">
        <v>2.6334026334026372E-2</v>
      </c>
      <c r="K129" s="38">
        <v>1.346499102333909E-2</v>
      </c>
      <c r="L129" s="38">
        <v>4.0650406504065817E-3</v>
      </c>
      <c r="N129" s="38">
        <v>9.9453008453505021E-3</v>
      </c>
      <c r="O129" s="38">
        <v>2.104340201665944E-2</v>
      </c>
      <c r="P129" s="38">
        <v>2.5342465753424692E-2</v>
      </c>
      <c r="Q129" s="38">
        <v>2.0667726550079424E-2</v>
      </c>
      <c r="R129" s="38">
        <v>4.7393364928911552E-3</v>
      </c>
      <c r="T129" s="1">
        <v>10</v>
      </c>
    </row>
    <row r="130" spans="1:20" x14ac:dyDescent="0.2">
      <c r="A130" s="1">
        <v>11</v>
      </c>
      <c r="C130" s="38">
        <v>5.745554035567757E-3</v>
      </c>
      <c r="D130" s="38">
        <v>2.1230502599653533E-2</v>
      </c>
      <c r="E130" s="38">
        <v>1.5427769985974837E-2</v>
      </c>
      <c r="F130" s="38">
        <v>7.058823529411784E-3</v>
      </c>
      <c r="H130" s="38">
        <v>4.6052631578947789E-3</v>
      </c>
      <c r="I130" s="38">
        <v>2.1193771626297542E-2</v>
      </c>
      <c r="J130" s="38">
        <v>2.7008777852802091E-2</v>
      </c>
      <c r="K130" s="38">
        <v>1.5057573073516517E-2</v>
      </c>
      <c r="L130" s="38">
        <v>4.0485829959513442E-3</v>
      </c>
      <c r="N130" s="38">
        <v>7.8778926637124158E-3</v>
      </c>
      <c r="O130" s="38">
        <v>2.103907256333204E-2</v>
      </c>
      <c r="P130" s="38">
        <v>2.6720106880427474E-2</v>
      </c>
      <c r="Q130" s="38">
        <v>2.4922118380062308E-2</v>
      </c>
      <c r="R130" s="38">
        <v>4.7169811320753041E-3</v>
      </c>
      <c r="T130" s="1">
        <v>11</v>
      </c>
    </row>
    <row r="131" spans="1:20" x14ac:dyDescent="0.2">
      <c r="A131" s="1">
        <v>12</v>
      </c>
      <c r="C131" s="38">
        <v>5.4406964091404664E-3</v>
      </c>
      <c r="D131" s="38">
        <v>2.078913873568089E-2</v>
      </c>
      <c r="E131" s="38">
        <v>6.906077348066253E-3</v>
      </c>
      <c r="F131" s="38">
        <v>5.8411214953271173E-3</v>
      </c>
      <c r="H131" s="38">
        <v>4.9115913555992652E-3</v>
      </c>
      <c r="I131" s="38">
        <v>2.1177467174925857E-2</v>
      </c>
      <c r="J131" s="38">
        <v>2.6298487836949214E-2</v>
      </c>
      <c r="K131" s="38">
        <v>4.3630017452005454E-3</v>
      </c>
      <c r="L131" s="38">
        <v>4.0322580645162365E-3</v>
      </c>
      <c r="N131" s="38">
        <v>7.3277967757694462E-3</v>
      </c>
      <c r="O131" s="38">
        <v>2.1026072329688894E-2</v>
      </c>
      <c r="P131" s="38">
        <v>2.6675341574495803E-2</v>
      </c>
      <c r="Q131" s="38">
        <v>4.5592705167174508E-3</v>
      </c>
      <c r="R131" s="38">
        <v>4.6948356807512415E-3</v>
      </c>
      <c r="T131" s="1">
        <v>12</v>
      </c>
    </row>
    <row r="132" spans="1:20" x14ac:dyDescent="0.2">
      <c r="A132" s="1">
        <v>13</v>
      </c>
      <c r="C132" s="38">
        <v>1.8939393939394478E-3</v>
      </c>
      <c r="D132" s="38">
        <v>2.244389027431426E-2</v>
      </c>
      <c r="E132" s="38">
        <v>2.057613168724215E-3</v>
      </c>
      <c r="F132" s="38">
        <v>5.4200542005420349E-3</v>
      </c>
      <c r="H132" s="38">
        <v>2.2808732486152561E-3</v>
      </c>
      <c r="I132" s="38">
        <v>2.1982579842389161E-2</v>
      </c>
      <c r="J132" s="38">
        <v>2.6265214606021825E-2</v>
      </c>
      <c r="K132" s="38">
        <v>-2.6064291920069316E-3</v>
      </c>
      <c r="L132" s="38">
        <v>6.0240963855420215E-3</v>
      </c>
      <c r="N132" s="38">
        <v>1.9398642095052043E-3</v>
      </c>
      <c r="O132" s="38">
        <v>2.0593080724876422E-2</v>
      </c>
      <c r="P132" s="38">
        <v>2.5982256020278927E-2</v>
      </c>
      <c r="Q132" s="38">
        <v>-1.0590015128593033E-2</v>
      </c>
      <c r="R132" s="38">
        <v>7.0093457943922743E-3</v>
      </c>
      <c r="T132" s="1">
        <v>13</v>
      </c>
    </row>
    <row r="133" spans="1:20" x14ac:dyDescent="0.2">
      <c r="A133" s="1">
        <v>14</v>
      </c>
      <c r="C133" s="38">
        <v>-1.6203078584932085E-3</v>
      </c>
      <c r="D133" s="38">
        <v>2.2357723577235644E-2</v>
      </c>
      <c r="E133" s="38">
        <v>4.1067761806981018E-3</v>
      </c>
      <c r="F133" s="38">
        <v>6.5460146322680046E-3</v>
      </c>
      <c r="H133" s="38">
        <v>-2.6007802340702879E-3</v>
      </c>
      <c r="I133" s="38">
        <v>2.1509740259740395E-2</v>
      </c>
      <c r="J133" s="38">
        <v>2.6841448189762751E-2</v>
      </c>
      <c r="K133" s="38">
        <v>0</v>
      </c>
      <c r="L133" s="38">
        <v>7.9840319361277334E-3</v>
      </c>
      <c r="N133" s="38">
        <v>-9.6805421103585143E-4</v>
      </c>
      <c r="O133" s="38">
        <v>2.098466505246166E-2</v>
      </c>
      <c r="P133" s="38">
        <v>2.5941939468807851E-2</v>
      </c>
      <c r="Q133" s="38">
        <v>-4.5871559633028358E-3</v>
      </c>
      <c r="R133" s="38">
        <v>6.9605568445476607E-3</v>
      </c>
      <c r="T133" s="1">
        <v>14</v>
      </c>
    </row>
    <row r="134" spans="1:20" x14ac:dyDescent="0.2">
      <c r="A134" s="1">
        <v>15</v>
      </c>
      <c r="C134" s="38">
        <v>0</v>
      </c>
      <c r="D134" s="38">
        <v>2.2664015904572565E-2</v>
      </c>
      <c r="E134" s="38">
        <v>-4.0899795501022629E-3</v>
      </c>
      <c r="F134" s="38">
        <v>6.1208875286917763E-3</v>
      </c>
      <c r="H134" s="38">
        <v>-1.6297262059974393E-3</v>
      </c>
      <c r="I134" s="38">
        <v>2.1454112038140627E-2</v>
      </c>
      <c r="J134" s="38">
        <v>2.7355623100303816E-2</v>
      </c>
      <c r="K134" s="38">
        <v>-9.5818815331011331E-3</v>
      </c>
      <c r="L134" s="38">
        <v>5.9405940594059459E-3</v>
      </c>
      <c r="N134" s="38">
        <v>0</v>
      </c>
      <c r="O134" s="38">
        <v>2.0553359683794348E-2</v>
      </c>
      <c r="P134" s="38">
        <v>2.7092113184828293E-2</v>
      </c>
      <c r="Q134" s="38">
        <v>-4.6082949308754451E-3</v>
      </c>
      <c r="R134" s="38">
        <v>6.9124423963133896E-3</v>
      </c>
      <c r="T134" s="1">
        <v>15</v>
      </c>
    </row>
    <row r="135" spans="1:20" x14ac:dyDescent="0.2">
      <c r="A135" s="1">
        <v>16</v>
      </c>
      <c r="C135" s="38">
        <v>2.9753854476601838E-3</v>
      </c>
      <c r="D135" s="38">
        <v>2.255054432348369E-2</v>
      </c>
      <c r="E135" s="38">
        <v>1.5058179329226595E-2</v>
      </c>
      <c r="F135" s="38">
        <v>7.6045627376426506E-3</v>
      </c>
      <c r="H135" s="38">
        <v>1.9588638589618235E-3</v>
      </c>
      <c r="I135" s="38">
        <v>2.2170361726954413E-2</v>
      </c>
      <c r="J135" s="38">
        <v>2.8402366863905293E-2</v>
      </c>
      <c r="K135" s="38">
        <v>1.4951627088830355E-2</v>
      </c>
      <c r="L135" s="38">
        <v>7.8740157480314821E-3</v>
      </c>
      <c r="N135" s="38">
        <v>4.8449612403098641E-3</v>
      </c>
      <c r="O135" s="38">
        <v>2.2075910147172806E-2</v>
      </c>
      <c r="P135" s="38">
        <v>2.8135990621336537E-2</v>
      </c>
      <c r="Q135" s="38">
        <v>2.4691358024691246E-2</v>
      </c>
      <c r="R135" s="38">
        <v>9.1533180778031742E-3</v>
      </c>
      <c r="T135" s="1">
        <v>16</v>
      </c>
    </row>
    <row r="136" spans="1:20" x14ac:dyDescent="0.2">
      <c r="A136" s="1">
        <v>17</v>
      </c>
      <c r="C136" s="38">
        <v>5.9331175836030425E-3</v>
      </c>
      <c r="D136" s="38">
        <v>2.1673003802281432E-2</v>
      </c>
      <c r="E136" s="38">
        <v>1.4834794335805812E-2</v>
      </c>
      <c r="F136" s="38">
        <v>9.4339622641510523E-3</v>
      </c>
      <c r="H136" s="38">
        <v>4.8875855327468187E-3</v>
      </c>
      <c r="I136" s="38">
        <v>2.2070015220700068E-2</v>
      </c>
      <c r="J136" s="38">
        <v>2.7617951668584606E-2</v>
      </c>
      <c r="K136" s="38">
        <v>1.4731369150779994E-2</v>
      </c>
      <c r="L136" s="38">
        <v>3.90625E-3</v>
      </c>
      <c r="N136" s="38">
        <v>8.19672131147553E-3</v>
      </c>
      <c r="O136" s="38">
        <v>2.19780219780219E-2</v>
      </c>
      <c r="P136" s="38">
        <v>2.7366020524515422E-2</v>
      </c>
      <c r="Q136" s="38">
        <v>2.5602409638554313E-2</v>
      </c>
      <c r="R136" s="38">
        <v>6.8027210884353817E-3</v>
      </c>
      <c r="T136" s="1">
        <v>17</v>
      </c>
    </row>
    <row r="137" spans="1:20" x14ac:dyDescent="0.2">
      <c r="A137" s="1">
        <v>18</v>
      </c>
      <c r="C137" s="38">
        <v>6.7024128686326012E-3</v>
      </c>
      <c r="D137" s="38">
        <v>2.2701898027539968E-2</v>
      </c>
      <c r="E137" s="38">
        <v>1.7275747508305628E-2</v>
      </c>
      <c r="F137" s="38">
        <v>8.2242990654204373E-3</v>
      </c>
      <c r="H137" s="38">
        <v>6.809338521400754E-3</v>
      </c>
      <c r="I137" s="38">
        <v>2.3454951600893503E-2</v>
      </c>
      <c r="J137" s="38">
        <v>2.5755879059350617E-2</v>
      </c>
      <c r="K137" s="38">
        <v>1.6225448334756587E-2</v>
      </c>
      <c r="L137" s="38">
        <v>7.7821011673151474E-3</v>
      </c>
      <c r="N137" s="38">
        <v>9.0865614538497841E-3</v>
      </c>
      <c r="O137" s="38">
        <v>2.3730070448646723E-2</v>
      </c>
      <c r="P137" s="38">
        <v>2.5527192008879096E-2</v>
      </c>
      <c r="Q137" s="38">
        <v>2.4963289280470091E-2</v>
      </c>
      <c r="R137" s="38">
        <v>6.7567567567565767E-3</v>
      </c>
      <c r="T137" s="1">
        <v>18</v>
      </c>
    </row>
    <row r="138" spans="1:20" x14ac:dyDescent="0.2">
      <c r="A138" s="1">
        <v>19</v>
      </c>
      <c r="C138" s="38">
        <v>5.5925432756325222E-3</v>
      </c>
      <c r="D138" s="38">
        <v>2.2925764192139653E-2</v>
      </c>
      <c r="E138" s="38">
        <v>1.436969301110369E-2</v>
      </c>
      <c r="F138" s="38">
        <v>7.7864293659621886E-3</v>
      </c>
      <c r="H138" s="38">
        <v>5.4750402576488888E-3</v>
      </c>
      <c r="I138" s="38">
        <v>2.2917424518006602E-2</v>
      </c>
      <c r="J138" s="38">
        <v>2.7838427947598055E-2</v>
      </c>
      <c r="K138" s="38">
        <v>1.3445378151260456E-2</v>
      </c>
      <c r="L138" s="38">
        <v>3.8610038610038533E-3</v>
      </c>
      <c r="N138" s="38">
        <v>7.5829383886256707E-3</v>
      </c>
      <c r="O138" s="38">
        <v>2.2817819630568614E-2</v>
      </c>
      <c r="P138" s="38">
        <v>2.7597402597402398E-2</v>
      </c>
      <c r="Q138" s="38">
        <v>2.4355300859598916E-2</v>
      </c>
      <c r="R138" s="38">
        <v>4.4742729306488371E-3</v>
      </c>
      <c r="T138" s="1">
        <v>19</v>
      </c>
    </row>
    <row r="139" spans="1:20" x14ac:dyDescent="0.2">
      <c r="A139" s="1">
        <v>20</v>
      </c>
      <c r="C139" s="38">
        <v>5.5614406779660452E-3</v>
      </c>
      <c r="D139" s="38">
        <v>2.2767698327997188E-2</v>
      </c>
      <c r="E139" s="38">
        <v>1.1590470057952551E-2</v>
      </c>
      <c r="F139" s="38">
        <v>8.0941869021338153E-3</v>
      </c>
      <c r="H139" s="38">
        <v>5.445227418321652E-3</v>
      </c>
      <c r="I139" s="38">
        <v>2.2759601706970223E-2</v>
      </c>
      <c r="J139" s="38">
        <v>2.7615507169410636E-2</v>
      </c>
      <c r="K139" s="38">
        <v>9.121061359867344E-3</v>
      </c>
      <c r="L139" s="38">
        <v>3.8461538461538325E-3</v>
      </c>
      <c r="N139" s="38">
        <v>7.996237064910483E-3</v>
      </c>
      <c r="O139" s="38">
        <v>2.3016997167138786E-2</v>
      </c>
      <c r="P139" s="38">
        <v>2.7909426013691396E-2</v>
      </c>
      <c r="Q139" s="38">
        <v>1.6783216783216703E-2</v>
      </c>
      <c r="R139" s="38">
        <v>4.4543429844097204E-3</v>
      </c>
      <c r="T139" s="1">
        <v>20</v>
      </c>
    </row>
    <row r="140" spans="1:20" x14ac:dyDescent="0.2">
      <c r="A140" s="1">
        <v>21</v>
      </c>
      <c r="C140" s="38">
        <v>4.2138530418751596E-3</v>
      </c>
      <c r="D140" s="38">
        <v>2.2608695652173827E-2</v>
      </c>
      <c r="E140" s="38">
        <v>1.9732654360280044E-2</v>
      </c>
      <c r="F140" s="38">
        <v>7.6642335766423653E-3</v>
      </c>
      <c r="H140" s="38">
        <v>4.7785919082510286E-3</v>
      </c>
      <c r="I140" s="38">
        <v>2.2600834492350508E-2</v>
      </c>
      <c r="J140" s="38">
        <v>2.7390180878552828E-2</v>
      </c>
      <c r="K140" s="38">
        <v>1.9720624486442073E-2</v>
      </c>
      <c r="L140" s="38">
        <v>5.7471264367816577E-3</v>
      </c>
      <c r="N140" s="38">
        <v>7.4661689220718586E-3</v>
      </c>
      <c r="O140" s="38">
        <v>2.2845275181723856E-2</v>
      </c>
      <c r="P140" s="38">
        <v>2.6639344262294973E-2</v>
      </c>
      <c r="Q140" s="38">
        <v>2.2008253094910613E-2</v>
      </c>
      <c r="R140" s="38">
        <v>6.6518847006651338E-3</v>
      </c>
      <c r="T140" s="1">
        <v>21</v>
      </c>
    </row>
    <row r="141" spans="1:20" x14ac:dyDescent="0.2">
      <c r="A141" s="1">
        <v>22</v>
      </c>
      <c r="C141" s="38">
        <v>5.5074744295831035E-3</v>
      </c>
      <c r="D141" s="38">
        <v>2.3129251700680253E-2</v>
      </c>
      <c r="E141" s="38">
        <v>2.5593008739076106E-2</v>
      </c>
      <c r="F141" s="38">
        <v>7.243752263672576E-3</v>
      </c>
      <c r="H141" s="38">
        <v>6.0240963855422436E-3</v>
      </c>
      <c r="I141" s="38">
        <v>2.3461407684461033E-2</v>
      </c>
      <c r="J141" s="38">
        <v>2.6156941649899457E-2</v>
      </c>
      <c r="K141" s="38">
        <v>2.5785656728444906E-2</v>
      </c>
      <c r="L141" s="38">
        <v>9.52380952380949E-3</v>
      </c>
      <c r="N141" s="38">
        <v>9.263547938860528E-3</v>
      </c>
      <c r="O141" s="38">
        <v>2.3011844331641385E-2</v>
      </c>
      <c r="P141" s="38">
        <v>2.6447105788423242E-2</v>
      </c>
      <c r="Q141" s="38">
        <v>2.2880215343203281E-2</v>
      </c>
      <c r="R141" s="38">
        <v>8.8105726872247381E-3</v>
      </c>
      <c r="T141" s="1">
        <v>22</v>
      </c>
    </row>
    <row r="142" spans="1:20" x14ac:dyDescent="0.2">
      <c r="A142" s="1">
        <v>23</v>
      </c>
      <c r="C142" s="38">
        <v>9.3896713615022609E-3</v>
      </c>
      <c r="D142" s="38">
        <v>2.4268617021276695E-2</v>
      </c>
      <c r="E142" s="38">
        <v>2.5562994522215554E-2</v>
      </c>
      <c r="F142" s="38">
        <v>7.5512405609492461E-3</v>
      </c>
      <c r="H142" s="38">
        <v>1.0085092971950704E-2</v>
      </c>
      <c r="I142" s="38">
        <v>2.4584717607973428E-2</v>
      </c>
      <c r="J142" s="38">
        <v>2.7450980392156987E-2</v>
      </c>
      <c r="K142" s="38">
        <v>2.4351924587588281E-2</v>
      </c>
      <c r="L142" s="38">
        <v>9.4339622641508303E-3</v>
      </c>
      <c r="N142" s="38">
        <v>1.2391005048187242E-2</v>
      </c>
      <c r="O142" s="38">
        <v>2.4809791597750541E-2</v>
      </c>
      <c r="P142" s="38">
        <v>2.72241127856101E-2</v>
      </c>
      <c r="Q142" s="38">
        <v>2.2368421052631593E-2</v>
      </c>
      <c r="R142" s="38">
        <v>8.733624454148492E-3</v>
      </c>
      <c r="T142" s="1">
        <v>23</v>
      </c>
    </row>
    <row r="143" spans="1:20" x14ac:dyDescent="0.2">
      <c r="A143" s="1">
        <v>24</v>
      </c>
      <c r="C143" s="38">
        <v>1.0852713178294504E-2</v>
      </c>
      <c r="D143" s="38">
        <v>2.3693605972086917E-2</v>
      </c>
      <c r="E143" s="38">
        <v>2.6706231454005858E-2</v>
      </c>
      <c r="F143" s="38">
        <v>9.6359743040685952E-3</v>
      </c>
      <c r="H143" s="38">
        <v>1.2480499219968966E-2</v>
      </c>
      <c r="I143" s="38">
        <v>2.367055771725024E-2</v>
      </c>
      <c r="J143" s="38">
        <v>4.1507633587786197E-2</v>
      </c>
      <c r="K143" s="38">
        <v>2.6840490797546135E-2</v>
      </c>
      <c r="L143" s="38">
        <v>9.3457943925234765E-3</v>
      </c>
      <c r="N143" s="38">
        <v>1.5865820489573856E-2</v>
      </c>
      <c r="O143" s="38">
        <v>2.3886378308586087E-2</v>
      </c>
      <c r="P143" s="38">
        <v>4.0700425934689921E-2</v>
      </c>
      <c r="Q143" s="38">
        <v>3.7323037323037545E-2</v>
      </c>
      <c r="R143" s="38">
        <v>8.6580086580085869E-3</v>
      </c>
      <c r="T143" s="1">
        <v>24</v>
      </c>
    </row>
    <row r="144" spans="1:20" x14ac:dyDescent="0.2">
      <c r="A144" s="1">
        <v>25</v>
      </c>
      <c r="C144" s="38">
        <v>1.4314928425357865E-2</v>
      </c>
      <c r="D144" s="38">
        <v>2.2194039315155401E-2</v>
      </c>
      <c r="E144" s="38">
        <v>3.583815028901749E-2</v>
      </c>
      <c r="F144" s="38">
        <v>1.0250972074938192E-2</v>
      </c>
      <c r="H144" s="38">
        <v>1.5408320493066174E-2</v>
      </c>
      <c r="I144" s="38">
        <v>2.2172949002217335E-2</v>
      </c>
      <c r="J144" s="38">
        <v>5.0389372423270906E-2</v>
      </c>
      <c r="K144" s="38">
        <v>4.1075429424943799E-2</v>
      </c>
      <c r="L144" s="38">
        <v>7.4074074074073071E-3</v>
      </c>
      <c r="N144" s="38">
        <v>1.8295403837572444E-2</v>
      </c>
      <c r="O144" s="38">
        <v>2.2068095838587709E-2</v>
      </c>
      <c r="P144" s="38">
        <v>5.0022737608003798E-2</v>
      </c>
      <c r="Q144" s="38">
        <v>5.8312655086848464E-2</v>
      </c>
      <c r="R144" s="38">
        <v>8.5836909871244149E-3</v>
      </c>
      <c r="T144" s="1">
        <v>25</v>
      </c>
    </row>
    <row r="145" spans="1:20" x14ac:dyDescent="0.2">
      <c r="A145" s="1">
        <v>26</v>
      </c>
      <c r="C145" s="38">
        <v>8.3165322580645018E-3</v>
      </c>
      <c r="D145" s="38">
        <v>2.1712158808932847E-2</v>
      </c>
      <c r="E145" s="38">
        <v>1.6183035714285587E-2</v>
      </c>
      <c r="F145" s="38">
        <v>8.0475857242827686E-3</v>
      </c>
      <c r="H145" s="38">
        <v>8.8012139605462281E-3</v>
      </c>
      <c r="I145" s="38">
        <v>2.1691973969631073E-2</v>
      </c>
      <c r="J145" s="38">
        <v>3.5761011774967377E-2</v>
      </c>
      <c r="K145" s="38">
        <v>1.9368723098995844E-2</v>
      </c>
      <c r="L145" s="38">
        <v>7.3529411764705621E-3</v>
      </c>
      <c r="N145" s="38">
        <v>1.1393514460999121E-2</v>
      </c>
      <c r="O145" s="38">
        <v>2.1591610117211557E-2</v>
      </c>
      <c r="P145" s="38">
        <v>3.5513209181463834E-2</v>
      </c>
      <c r="Q145" s="38">
        <v>2.8135990621336537E-2</v>
      </c>
      <c r="R145" s="38">
        <v>6.382978723404209E-3</v>
      </c>
      <c r="T145" s="1">
        <v>26</v>
      </c>
    </row>
    <row r="146" spans="1:20" x14ac:dyDescent="0.2">
      <c r="A146" s="1">
        <v>27</v>
      </c>
      <c r="C146" s="38">
        <v>5.9985003749063459E-3</v>
      </c>
      <c r="D146" s="38">
        <v>2.1250758955677185E-2</v>
      </c>
      <c r="E146" s="38">
        <v>8.7863811092805388E-3</v>
      </c>
      <c r="F146" s="38">
        <v>6.9420340159667138E-3</v>
      </c>
      <c r="H146" s="38">
        <v>6.0168471720816186E-3</v>
      </c>
      <c r="I146" s="38">
        <v>2.1534728541098058E-2</v>
      </c>
      <c r="J146" s="38">
        <v>2.9473684210526319E-2</v>
      </c>
      <c r="K146" s="38">
        <v>1.0555946516537462E-2</v>
      </c>
      <c r="L146" s="38">
        <v>5.4744525547443246E-3</v>
      </c>
      <c r="N146" s="38">
        <v>9.0987868284229112E-3</v>
      </c>
      <c r="O146" s="38">
        <v>2.143719806763289E-2</v>
      </c>
      <c r="P146" s="38">
        <v>2.9276453366792188E-2</v>
      </c>
      <c r="Q146" s="38">
        <v>1.7103762827822111E-2</v>
      </c>
      <c r="R146" s="38">
        <v>8.4566596194501908E-3</v>
      </c>
      <c r="T146" s="1">
        <v>27</v>
      </c>
    </row>
    <row r="147" spans="1:20" x14ac:dyDescent="0.2">
      <c r="A147" s="1">
        <v>28</v>
      </c>
      <c r="C147" s="38">
        <v>6.2111801242235032E-3</v>
      </c>
      <c r="D147" s="38">
        <v>2.1700356718192593E-2</v>
      </c>
      <c r="E147" s="38">
        <v>8.165487207403288E-3</v>
      </c>
      <c r="F147" s="38">
        <v>6.8941744226129753E-3</v>
      </c>
      <c r="H147" s="38">
        <v>5.9808612440193087E-3</v>
      </c>
      <c r="I147" s="38">
        <v>2.1674584323040369E-2</v>
      </c>
      <c r="J147" s="38">
        <v>2.9856850715746397E-2</v>
      </c>
      <c r="K147" s="38">
        <v>1.1142061281337101E-2</v>
      </c>
      <c r="L147" s="38">
        <v>5.4446460980037692E-3</v>
      </c>
      <c r="N147" s="38">
        <v>8.587376556461912E-3</v>
      </c>
      <c r="O147" s="38">
        <v>2.1578480638486663E-2</v>
      </c>
      <c r="P147" s="38">
        <v>2.9662738724095972E-2</v>
      </c>
      <c r="Q147" s="38">
        <v>1.7937219730941756E-2</v>
      </c>
      <c r="R147" s="38">
        <v>6.2893081761006275E-3</v>
      </c>
      <c r="T147" s="1">
        <v>28</v>
      </c>
    </row>
    <row r="148" spans="1:20" x14ac:dyDescent="0.2">
      <c r="A148" s="1">
        <v>29</v>
      </c>
      <c r="C148" s="38">
        <v>5.9259259259258901E-3</v>
      </c>
      <c r="D148" s="38">
        <v>2.1530404422461569E-2</v>
      </c>
      <c r="E148" s="38">
        <v>8.6393088552916275E-3</v>
      </c>
      <c r="F148" s="38">
        <v>7.1893187264635561E-3</v>
      </c>
      <c r="H148" s="38">
        <v>6.2425683709870228E-3</v>
      </c>
      <c r="I148" s="38">
        <v>2.1505376344086002E-2</v>
      </c>
      <c r="J148" s="38">
        <v>2.938840349483729E-2</v>
      </c>
      <c r="K148" s="38">
        <v>1.1019283746556585E-2</v>
      </c>
      <c r="L148" s="38">
        <v>7.2202166064982976E-3</v>
      </c>
      <c r="N148" s="38">
        <v>8.9399744572158379E-3</v>
      </c>
      <c r="O148" s="38">
        <v>2.1412037037036979E-2</v>
      </c>
      <c r="P148" s="38">
        <v>2.9202841357537368E-2</v>
      </c>
      <c r="Q148" s="38">
        <v>1.7621145374449254E-2</v>
      </c>
      <c r="R148" s="38">
        <v>6.2500000000000888E-3</v>
      </c>
      <c r="T148" s="1">
        <v>29</v>
      </c>
    </row>
    <row r="149" spans="1:20" x14ac:dyDescent="0.2">
      <c r="A149" s="1">
        <v>30</v>
      </c>
      <c r="C149" s="38">
        <v>6.1364752086401353E-3</v>
      </c>
      <c r="D149" s="38">
        <v>2.1931073768157283E-2</v>
      </c>
      <c r="E149" s="38">
        <v>9.1006423982871176E-3</v>
      </c>
      <c r="F149" s="38">
        <v>6.7980965329708098E-3</v>
      </c>
      <c r="H149" s="38">
        <v>5.9084194977843119E-3</v>
      </c>
      <c r="I149" s="38">
        <v>2.1906116642958828E-2</v>
      </c>
      <c r="J149" s="38">
        <v>2.9706790123456672E-2</v>
      </c>
      <c r="K149" s="38">
        <v>1.1580381471389734E-2</v>
      </c>
      <c r="L149" s="38">
        <v>5.3763440860215006E-3</v>
      </c>
      <c r="N149" s="38">
        <v>8.4388185654007408E-3</v>
      </c>
      <c r="O149" s="38">
        <v>2.1813031161473262E-2</v>
      </c>
      <c r="P149" s="38">
        <v>2.9524539877300748E-2</v>
      </c>
      <c r="Q149" s="38">
        <v>1.7316017316017396E-2</v>
      </c>
      <c r="R149" s="38">
        <v>8.2815734989647449E-3</v>
      </c>
      <c r="T149" s="1">
        <v>30</v>
      </c>
    </row>
    <row r="151" spans="1:20" ht="15.75" x14ac:dyDescent="0.25">
      <c r="A151" s="31" t="s">
        <v>249</v>
      </c>
      <c r="B151" s="4"/>
      <c r="C151" s="4"/>
      <c r="D151" s="4"/>
      <c r="E151" s="4"/>
      <c r="F151" s="4"/>
      <c r="G151" s="4"/>
      <c r="H151" s="4"/>
      <c r="I151" s="4"/>
      <c r="J151" s="4"/>
      <c r="K151" s="4"/>
      <c r="L151" s="4"/>
      <c r="M151" s="4"/>
      <c r="N151" s="4"/>
      <c r="O151" s="4"/>
      <c r="P151" s="4"/>
      <c r="Q151" s="4"/>
      <c r="R151" s="4"/>
      <c r="S151" s="4"/>
      <c r="T151" s="31"/>
    </row>
    <row r="152" spans="1:20" ht="15.75" x14ac:dyDescent="0.25">
      <c r="A152" s="31" t="s">
        <v>118</v>
      </c>
      <c r="B152" s="4"/>
      <c r="C152" s="4"/>
      <c r="D152" s="4"/>
      <c r="E152" s="4"/>
      <c r="F152" s="4"/>
      <c r="G152" s="4"/>
      <c r="H152" s="4"/>
      <c r="I152" s="4"/>
      <c r="J152" s="4"/>
      <c r="K152" s="4"/>
      <c r="L152" s="4"/>
      <c r="M152" s="4"/>
      <c r="N152" s="4"/>
      <c r="O152" s="4"/>
      <c r="P152" s="4"/>
      <c r="Q152" s="4"/>
      <c r="R152" s="4"/>
      <c r="S152" s="4"/>
      <c r="T152" s="31"/>
    </row>
    <row r="153" spans="1:20" ht="15.75" x14ac:dyDescent="0.25">
      <c r="A153" s="31" t="s">
        <v>130</v>
      </c>
      <c r="B153" s="4"/>
      <c r="C153" s="4"/>
      <c r="D153" s="4"/>
      <c r="E153" s="4"/>
      <c r="F153" s="4"/>
      <c r="G153" s="4"/>
      <c r="H153" s="4"/>
      <c r="I153" s="4"/>
      <c r="J153" s="4"/>
      <c r="K153" s="4"/>
      <c r="L153" s="4"/>
      <c r="M153" s="4"/>
      <c r="N153" s="4"/>
      <c r="O153" s="4"/>
      <c r="P153" s="4"/>
      <c r="Q153" s="4"/>
      <c r="R153" s="4"/>
      <c r="S153" s="4"/>
      <c r="T153" s="4"/>
    </row>
    <row r="154" spans="1:20" ht="7.5" customHeight="1" x14ac:dyDescent="0.25">
      <c r="A154" s="30"/>
      <c r="C154"/>
      <c r="T154"/>
    </row>
    <row r="155" spans="1:20" x14ac:dyDescent="0.2">
      <c r="C155" s="25" t="s">
        <v>122</v>
      </c>
      <c r="D155" s="25"/>
      <c r="E155" s="25"/>
      <c r="F155" s="25"/>
      <c r="H155" s="25" t="s">
        <v>123</v>
      </c>
      <c r="I155" s="25"/>
      <c r="J155" s="25"/>
      <c r="K155" s="25"/>
      <c r="L155" s="4"/>
      <c r="N155" s="25" t="s">
        <v>124</v>
      </c>
      <c r="O155" s="25"/>
      <c r="P155" s="25"/>
      <c r="Q155" s="25"/>
      <c r="R155" s="4"/>
    </row>
    <row r="156" spans="1:20" x14ac:dyDescent="0.2">
      <c r="A156" s="1" t="s">
        <v>41</v>
      </c>
      <c r="C156" s="1" t="s">
        <v>32</v>
      </c>
      <c r="D156" s="1" t="s">
        <v>125</v>
      </c>
      <c r="E156" s="1" t="s">
        <v>33</v>
      </c>
      <c r="F156" s="1" t="s">
        <v>126</v>
      </c>
      <c r="G156" s="1"/>
      <c r="H156" s="1" t="s">
        <v>32</v>
      </c>
      <c r="I156" s="1" t="s">
        <v>125</v>
      </c>
      <c r="J156" s="1" t="s">
        <v>127</v>
      </c>
      <c r="K156" s="1" t="s">
        <v>33</v>
      </c>
      <c r="L156" s="1" t="s">
        <v>128</v>
      </c>
      <c r="M156" s="1"/>
      <c r="N156" s="1" t="s">
        <v>32</v>
      </c>
      <c r="O156" s="1" t="s">
        <v>125</v>
      </c>
      <c r="P156" s="1" t="s">
        <v>127</v>
      </c>
      <c r="Q156" s="1" t="s">
        <v>33</v>
      </c>
      <c r="R156" s="1" t="s">
        <v>128</v>
      </c>
      <c r="T156" s="1" t="s">
        <v>41</v>
      </c>
    </row>
    <row r="157" spans="1:20" x14ac:dyDescent="0.2">
      <c r="A157" s="1">
        <v>1</v>
      </c>
      <c r="C157" s="38">
        <v>3.3475177304964632E-2</v>
      </c>
      <c r="D157" s="38">
        <v>-1.591895803183796E-2</v>
      </c>
      <c r="E157" s="38">
        <v>-2.9053420805998154E-2</v>
      </c>
      <c r="F157" s="38">
        <v>1.0281627179257846E-2</v>
      </c>
      <c r="H157" s="38">
        <v>2.7786548784338283E-2</v>
      </c>
      <c r="I157" s="38">
        <v>-1.6765285996055201E-2</v>
      </c>
      <c r="J157" s="38">
        <v>8.1716036772216949E-3</v>
      </c>
      <c r="K157" s="38">
        <v>1.2387387387387427E-2</v>
      </c>
      <c r="L157" s="38">
        <v>2.244389027431426E-2</v>
      </c>
      <c r="N157" s="38">
        <v>1.9665683382497523E-2</v>
      </c>
      <c r="O157" s="38">
        <v>-1.6216216216216273E-2</v>
      </c>
      <c r="P157" s="38">
        <v>9.2592592592593004E-3</v>
      </c>
      <c r="Q157" s="38">
        <v>-1.1605415860734936E-2</v>
      </c>
      <c r="R157" s="38">
        <v>2.7874564459930307E-2</v>
      </c>
      <c r="T157" s="1">
        <v>1</v>
      </c>
    </row>
    <row r="158" spans="1:20" x14ac:dyDescent="0.2">
      <c r="A158" s="1">
        <v>2</v>
      </c>
      <c r="C158" s="38">
        <v>1.7567938512215164E-2</v>
      </c>
      <c r="D158" s="38">
        <v>2.0098039215686203E-2</v>
      </c>
      <c r="E158" s="38">
        <v>-9.6525096525090781E-4</v>
      </c>
      <c r="F158" s="38">
        <v>2.7876106194690164E-2</v>
      </c>
      <c r="H158" s="38">
        <v>1.3824884792626779E-2</v>
      </c>
      <c r="I158" s="38">
        <v>4.2627883650952825E-2</v>
      </c>
      <c r="J158" s="38">
        <v>9.6251266464032481E-2</v>
      </c>
      <c r="K158" s="38">
        <v>1.1123470522802492E-3</v>
      </c>
      <c r="L158" s="38">
        <v>1.7073170731707332E-2</v>
      </c>
      <c r="N158" s="38">
        <v>3.3751205400192053E-3</v>
      </c>
      <c r="O158" s="38">
        <v>1.1488511488511488E-2</v>
      </c>
      <c r="P158" s="38">
        <v>9.6839959225280214E-2</v>
      </c>
      <c r="Q158" s="38">
        <v>5.2837573385518422E-2</v>
      </c>
      <c r="R158" s="38">
        <v>6.7796610169492677E-3</v>
      </c>
      <c r="T158" s="1">
        <v>2</v>
      </c>
    </row>
    <row r="159" spans="1:20" x14ac:dyDescent="0.2">
      <c r="A159" s="1">
        <v>3</v>
      </c>
      <c r="C159" s="38">
        <v>-7.0137577555974273E-3</v>
      </c>
      <c r="D159" s="38">
        <v>4.8053820278726178E-4</v>
      </c>
      <c r="E159" s="38">
        <v>1.2560386473430052E-2</v>
      </c>
      <c r="F159" s="38">
        <v>9.9009900990099098E-3</v>
      </c>
      <c r="H159" s="38">
        <v>-1.0606060606060619E-2</v>
      </c>
      <c r="I159" s="38">
        <v>8.6580086580085869E-3</v>
      </c>
      <c r="J159" s="38">
        <v>1.8484288354898348E-2</v>
      </c>
      <c r="K159" s="38">
        <v>-1.1111111111110628E-3</v>
      </c>
      <c r="L159" s="38">
        <v>7.194244604316502E-3</v>
      </c>
      <c r="N159" s="38">
        <v>-1.2493993272465032E-2</v>
      </c>
      <c r="O159" s="38">
        <v>0</v>
      </c>
      <c r="P159" s="38">
        <v>1.858736059479571E-2</v>
      </c>
      <c r="Q159" s="38">
        <v>5.9479553903345694E-2</v>
      </c>
      <c r="R159" s="38">
        <v>-3.3670033670034627E-3</v>
      </c>
      <c r="T159" s="1">
        <v>3</v>
      </c>
    </row>
    <row r="160" spans="1:20" x14ac:dyDescent="0.2">
      <c r="A160" s="1">
        <v>4</v>
      </c>
      <c r="C160" s="38">
        <v>-4.3466449334420565E-3</v>
      </c>
      <c r="D160" s="38">
        <v>1.1527377521613813E-2</v>
      </c>
      <c r="E160" s="38">
        <v>3.6259541984732691E-2</v>
      </c>
      <c r="F160" s="38">
        <v>7.6726342710997653E-3</v>
      </c>
      <c r="H160" s="38">
        <v>-7.9632465543644226E-3</v>
      </c>
      <c r="I160" s="38">
        <v>1.2398664759179834E-2</v>
      </c>
      <c r="J160" s="38">
        <v>1.8148820326678861E-2</v>
      </c>
      <c r="K160" s="38">
        <v>3.6707452725250223E-2</v>
      </c>
      <c r="L160" s="38">
        <v>7.1428571428571175E-3</v>
      </c>
      <c r="N160" s="38">
        <v>-3.4063260340633228E-3</v>
      </c>
      <c r="O160" s="38">
        <v>1.2345679012345734E-2</v>
      </c>
      <c r="P160" s="38">
        <v>1.8248175182481674E-2</v>
      </c>
      <c r="Q160" s="38">
        <v>6.315789473684208E-2</v>
      </c>
      <c r="R160" s="38">
        <v>3.3783783783785104E-3</v>
      </c>
      <c r="T160" s="1">
        <v>4</v>
      </c>
    </row>
    <row r="161" spans="1:20" x14ac:dyDescent="0.2">
      <c r="A161" s="1">
        <v>5</v>
      </c>
      <c r="C161" s="38">
        <v>5.7298772169167567E-3</v>
      </c>
      <c r="D161" s="38">
        <v>1.4245014245014342E-2</v>
      </c>
      <c r="E161" s="38">
        <v>4.3278084714548859E-2</v>
      </c>
      <c r="F161" s="38">
        <v>4.6531302876480218E-3</v>
      </c>
      <c r="H161" s="38">
        <v>6.1747452917559897E-4</v>
      </c>
      <c r="I161" s="38">
        <v>1.4601978332548171E-2</v>
      </c>
      <c r="J161" s="38">
        <v>2.3172905525846721E-2</v>
      </c>
      <c r="K161" s="38">
        <v>4.7210300429184393E-2</v>
      </c>
      <c r="L161" s="38">
        <v>7.0921985815601829E-3</v>
      </c>
      <c r="N161" s="38">
        <v>3.90625E-3</v>
      </c>
      <c r="O161" s="38">
        <v>1.609756097560977E-2</v>
      </c>
      <c r="P161" s="38">
        <v>2.3297491039426577E-2</v>
      </c>
      <c r="Q161" s="38">
        <v>5.9405940594059459E-2</v>
      </c>
      <c r="R161" s="38">
        <v>1.0101010101009944E-2</v>
      </c>
      <c r="T161" s="1">
        <v>5</v>
      </c>
    </row>
    <row r="162" spans="1:20" x14ac:dyDescent="0.2">
      <c r="A162" s="1">
        <v>6</v>
      </c>
      <c r="C162" s="38">
        <v>7.867607162235446E-3</v>
      </c>
      <c r="D162" s="38">
        <v>1.6853932584269593E-2</v>
      </c>
      <c r="E162" s="38">
        <v>3.2656663724624835E-2</v>
      </c>
      <c r="F162" s="38">
        <v>4.2105263157894424E-3</v>
      </c>
      <c r="H162" s="38">
        <v>3.7025609379821578E-3</v>
      </c>
      <c r="I162" s="38">
        <v>1.7641597028783762E-2</v>
      </c>
      <c r="J162" s="38">
        <v>2.7874564459930307E-2</v>
      </c>
      <c r="K162" s="38">
        <v>3.5860655737704805E-2</v>
      </c>
      <c r="L162" s="38">
        <v>9.3896713615022609E-3</v>
      </c>
      <c r="N162" s="38">
        <v>7.2957198443581728E-3</v>
      </c>
      <c r="O162" s="38">
        <v>1.8242918867018787E-2</v>
      </c>
      <c r="P162" s="38">
        <v>2.8021015761821477E-2</v>
      </c>
      <c r="Q162" s="38">
        <v>4.3613707165109039E-2</v>
      </c>
      <c r="R162" s="38">
        <v>1.3333333333333419E-2</v>
      </c>
      <c r="T162" s="1">
        <v>6</v>
      </c>
    </row>
    <row r="163" spans="1:20" x14ac:dyDescent="0.2">
      <c r="A163" s="1">
        <v>7</v>
      </c>
      <c r="C163" s="38">
        <v>5.3835800807537915E-3</v>
      </c>
      <c r="D163" s="38">
        <v>1.8876611418047862E-2</v>
      </c>
      <c r="E163" s="38">
        <v>1.8803418803418959E-2</v>
      </c>
      <c r="F163" s="38">
        <v>4.6121593291403862E-3</v>
      </c>
      <c r="H163" s="38">
        <v>1.8444512757456177E-3</v>
      </c>
      <c r="I163" s="38">
        <v>2.1441605839416011E-2</v>
      </c>
      <c r="J163" s="38">
        <v>2.8813559322033777E-2</v>
      </c>
      <c r="K163" s="38">
        <v>2.0771513353115889E-2</v>
      </c>
      <c r="L163" s="38">
        <v>9.302325581395321E-3</v>
      </c>
      <c r="N163" s="38">
        <v>4.3457267020763357E-3</v>
      </c>
      <c r="O163" s="38">
        <v>2.4516737388024401E-2</v>
      </c>
      <c r="P163" s="38">
        <v>2.8960817717206044E-2</v>
      </c>
      <c r="Q163" s="38">
        <v>2.5373134328358304E-2</v>
      </c>
      <c r="R163" s="38">
        <v>9.8684210526314153E-3</v>
      </c>
      <c r="T163" s="1">
        <v>7</v>
      </c>
    </row>
    <row r="164" spans="1:20" x14ac:dyDescent="0.2">
      <c r="A164" s="1">
        <v>8</v>
      </c>
      <c r="C164" s="38">
        <v>1.3386880856760541E-3</v>
      </c>
      <c r="D164" s="38">
        <v>1.9430637144148166E-2</v>
      </c>
      <c r="E164" s="38">
        <v>1.5100671140939603E-2</v>
      </c>
      <c r="F164" s="38">
        <v>6.2604340567611327E-3</v>
      </c>
      <c r="H164" s="38">
        <v>-2.1478981282602172E-3</v>
      </c>
      <c r="I164" s="38">
        <v>2.0098258150960113E-2</v>
      </c>
      <c r="J164" s="38">
        <v>2.9654036243822013E-2</v>
      </c>
      <c r="K164" s="38">
        <v>1.744186046511631E-2</v>
      </c>
      <c r="L164" s="38">
        <v>9.2165898617511122E-3</v>
      </c>
      <c r="N164" s="38">
        <v>2.8846153846153744E-3</v>
      </c>
      <c r="O164" s="38">
        <v>2.1629084215370353E-2</v>
      </c>
      <c r="P164" s="38">
        <v>2.9801324503311299E-2</v>
      </c>
      <c r="Q164" s="38">
        <v>1.8922852983988436E-2</v>
      </c>
      <c r="R164" s="38">
        <v>1.3029315960912058E-2</v>
      </c>
      <c r="T164" s="1">
        <v>8</v>
      </c>
    </row>
    <row r="165" spans="1:20" x14ac:dyDescent="0.2">
      <c r="A165" s="1">
        <v>9</v>
      </c>
      <c r="C165" s="38">
        <v>1.3368983957220415E-3</v>
      </c>
      <c r="D165" s="38">
        <v>1.9503546099290947E-2</v>
      </c>
      <c r="E165" s="38">
        <v>9.9173553719009711E-3</v>
      </c>
      <c r="F165" s="38">
        <v>5.806719203649946E-3</v>
      </c>
      <c r="H165" s="38">
        <v>-2.4600246002461912E-3</v>
      </c>
      <c r="I165" s="38">
        <v>1.9702276707530553E-2</v>
      </c>
      <c r="J165" s="38">
        <v>2.9599999999999849E-2</v>
      </c>
      <c r="K165" s="38">
        <v>1.0476190476190528E-2</v>
      </c>
      <c r="L165" s="38">
        <v>1.3698630136986356E-2</v>
      </c>
      <c r="N165" s="38">
        <v>9.5877277085332224E-4</v>
      </c>
      <c r="O165" s="38">
        <v>2.0270270270270174E-2</v>
      </c>
      <c r="P165" s="38">
        <v>2.9742765273311988E-2</v>
      </c>
      <c r="Q165" s="38">
        <v>1.28571428571429E-2</v>
      </c>
      <c r="R165" s="38">
        <v>1.2861736334405238E-2</v>
      </c>
      <c r="T165" s="1">
        <v>9</v>
      </c>
    </row>
    <row r="166" spans="1:20" x14ac:dyDescent="0.2">
      <c r="A166" s="1">
        <v>10</v>
      </c>
      <c r="C166" s="38">
        <v>5.8744993324433281E-3</v>
      </c>
      <c r="D166" s="38">
        <v>2.0000000000000018E-2</v>
      </c>
      <c r="E166" s="38">
        <v>1.7184942716857554E-2</v>
      </c>
      <c r="F166" s="38">
        <v>5.3608247422680666E-3</v>
      </c>
      <c r="H166" s="38">
        <v>2.1578298397040285E-3</v>
      </c>
      <c r="I166" s="38">
        <v>2.0180334907685893E-2</v>
      </c>
      <c r="J166" s="38">
        <v>2.8749028749028849E-2</v>
      </c>
      <c r="K166" s="38">
        <v>1.6965127238454336E-2</v>
      </c>
      <c r="L166" s="38">
        <v>6.7567567567565767E-3</v>
      </c>
      <c r="N166" s="38">
        <v>7.6628352490422103E-3</v>
      </c>
      <c r="O166" s="38">
        <v>2.1633554083885231E-2</v>
      </c>
      <c r="P166" s="38">
        <v>2.8883684621389571E-2</v>
      </c>
      <c r="Q166" s="38">
        <v>2.3977433004231274E-2</v>
      </c>
      <c r="R166" s="38">
        <v>3.1746031746031633E-3</v>
      </c>
      <c r="T166" s="1">
        <v>10</v>
      </c>
    </row>
    <row r="167" spans="1:20" x14ac:dyDescent="0.2">
      <c r="A167" s="1">
        <v>11</v>
      </c>
      <c r="C167" s="38">
        <v>5.3092646668435606E-3</v>
      </c>
      <c r="D167" s="38">
        <v>2.1312872975277175E-2</v>
      </c>
      <c r="E167" s="38">
        <v>1.9308125502815798E-2</v>
      </c>
      <c r="F167" s="38">
        <v>6.9729286300246329E-3</v>
      </c>
      <c r="H167" s="38">
        <v>3.9987696093510827E-3</v>
      </c>
      <c r="I167" s="38">
        <v>2.0622895622895543E-2</v>
      </c>
      <c r="J167" s="38">
        <v>3.09667673716012E-2</v>
      </c>
      <c r="K167" s="38">
        <v>2.1316033364226161E-2</v>
      </c>
      <c r="L167" s="38">
        <v>4.4742729306488371E-3</v>
      </c>
      <c r="N167" s="38">
        <v>6.6539923954371805E-3</v>
      </c>
      <c r="O167" s="38">
        <v>2.1175453759723295E-2</v>
      </c>
      <c r="P167" s="38">
        <v>3.0349013657056112E-2</v>
      </c>
      <c r="Q167" s="38">
        <v>2.6170798898071723E-2</v>
      </c>
      <c r="R167" s="38">
        <v>3.1645569620253333E-3</v>
      </c>
      <c r="T167" s="1">
        <v>11</v>
      </c>
    </row>
    <row r="168" spans="1:20" x14ac:dyDescent="0.2">
      <c r="A168" s="1">
        <v>12</v>
      </c>
      <c r="C168" s="38">
        <v>2.6406126221283355E-3</v>
      </c>
      <c r="D168" s="38">
        <v>2.2120200333889617E-2</v>
      </c>
      <c r="E168" s="38">
        <v>6.3141278610892027E-3</v>
      </c>
      <c r="F168" s="38">
        <v>6.109979633401208E-3</v>
      </c>
      <c r="H168" s="38">
        <v>1.5318627450979783E-3</v>
      </c>
      <c r="I168" s="38">
        <v>2.1443298969072044E-2</v>
      </c>
      <c r="J168" s="38">
        <v>2.9304029304029422E-2</v>
      </c>
      <c r="K168" s="38">
        <v>5.4446460980037692E-3</v>
      </c>
      <c r="L168" s="38">
        <v>1.3363028953229383E-2</v>
      </c>
      <c r="N168" s="38">
        <v>3.3050047214353562E-3</v>
      </c>
      <c r="O168" s="38">
        <v>2.0736352094794741E-2</v>
      </c>
      <c r="P168" s="38">
        <v>3.0191458026509688E-2</v>
      </c>
      <c r="Q168" s="38">
        <v>-1.3422818791946067E-3</v>
      </c>
      <c r="R168" s="38">
        <v>6.3091482649841879E-3</v>
      </c>
      <c r="T168" s="1">
        <v>12</v>
      </c>
    </row>
    <row r="169" spans="1:20" x14ac:dyDescent="0.2">
      <c r="A169" s="1">
        <v>13</v>
      </c>
      <c r="C169" s="38">
        <v>-1.5801948907032681E-3</v>
      </c>
      <c r="D169" s="38">
        <v>2.204981625153124E-2</v>
      </c>
      <c r="E169" s="38">
        <v>-4.7058823529412264E-3</v>
      </c>
      <c r="F169" s="38">
        <v>5.6680161943321039E-3</v>
      </c>
      <c r="H169" s="38">
        <v>-4.282655246252709E-3</v>
      </c>
      <c r="I169" s="38">
        <v>2.1396851029471087E-2</v>
      </c>
      <c r="J169" s="38">
        <v>2.918149466192177E-2</v>
      </c>
      <c r="K169" s="38">
        <v>-7.2202166064981865E-3</v>
      </c>
      <c r="L169" s="38">
        <v>6.59340659340657E-3</v>
      </c>
      <c r="N169" s="38">
        <v>-3.2941176470588918E-3</v>
      </c>
      <c r="O169" s="38">
        <v>2.2388059701492491E-2</v>
      </c>
      <c r="P169" s="38">
        <v>2.9306647605432445E-2</v>
      </c>
      <c r="Q169" s="38">
        <v>-2.1505376344086002E-2</v>
      </c>
      <c r="R169" s="38">
        <v>9.4043887147337024E-3</v>
      </c>
      <c r="T169" s="1">
        <v>13</v>
      </c>
    </row>
    <row r="170" spans="1:20" x14ac:dyDescent="0.2">
      <c r="A170" s="1">
        <v>14</v>
      </c>
      <c r="C170" s="38">
        <v>-3.4291743603269698E-3</v>
      </c>
      <c r="D170" s="38">
        <v>2.2373152217339154E-2</v>
      </c>
      <c r="E170" s="38">
        <v>-1.5760441292356209E-3</v>
      </c>
      <c r="F170" s="38">
        <v>5.6360708534621828E-3</v>
      </c>
      <c r="H170" s="38">
        <v>-7.0660522273424675E-3</v>
      </c>
      <c r="I170" s="38">
        <v>2.1343873517786438E-2</v>
      </c>
      <c r="J170" s="38">
        <v>2.9737206085753698E-2</v>
      </c>
      <c r="K170" s="38">
        <v>-4.5454545454546302E-3</v>
      </c>
      <c r="L170" s="38">
        <v>1.3100436681222627E-2</v>
      </c>
      <c r="N170" s="38">
        <v>-4.2492917847025691E-3</v>
      </c>
      <c r="O170" s="38">
        <v>2.108678021086785E-2</v>
      </c>
      <c r="P170" s="38">
        <v>2.9861111111111116E-2</v>
      </c>
      <c r="Q170" s="38">
        <v>-1.6483516483516536E-2</v>
      </c>
      <c r="R170" s="38">
        <v>6.2111801242235032E-3</v>
      </c>
      <c r="T170" s="1">
        <v>14</v>
      </c>
    </row>
    <row r="171" spans="1:20" x14ac:dyDescent="0.2">
      <c r="A171" s="1">
        <v>15</v>
      </c>
      <c r="C171" s="38">
        <v>2.6469031233444795E-4</v>
      </c>
      <c r="D171" s="38">
        <v>2.2274325908558046E-2</v>
      </c>
      <c r="E171" s="38">
        <v>3.1570639305447123E-3</v>
      </c>
      <c r="F171" s="38">
        <v>6.4051240992795133E-3</v>
      </c>
      <c r="H171" s="38">
        <v>-2.7846534653466204E-3</v>
      </c>
      <c r="I171" s="38">
        <v>2.0897832817337481E-2</v>
      </c>
      <c r="J171" s="38">
        <v>3.0221625251846795E-2</v>
      </c>
      <c r="K171" s="38">
        <v>2.73972602739736E-3</v>
      </c>
      <c r="L171" s="38">
        <v>8.6206896551723755E-3</v>
      </c>
      <c r="N171" s="38">
        <v>4.7415836889519447E-4</v>
      </c>
      <c r="O171" s="38">
        <v>1.9857029388403502E-2</v>
      </c>
      <c r="P171" s="38">
        <v>3.0343897505057171E-2</v>
      </c>
      <c r="Q171" s="38">
        <v>-8.379888268156499E-3</v>
      </c>
      <c r="R171" s="38">
        <v>9.2592592592593004E-3</v>
      </c>
      <c r="T171" s="1">
        <v>15</v>
      </c>
    </row>
    <row r="172" spans="1:20" x14ac:dyDescent="0.2">
      <c r="A172" s="1">
        <v>16</v>
      </c>
      <c r="C172" s="38">
        <v>1.8523418893887644E-3</v>
      </c>
      <c r="D172" s="38">
        <v>2.2553516819571851E-2</v>
      </c>
      <c r="E172" s="38">
        <v>9.4413847364278602E-3</v>
      </c>
      <c r="F172" s="38">
        <v>7.5576770087508738E-3</v>
      </c>
      <c r="H172" s="38">
        <v>-1.2410797393732631E-3</v>
      </c>
      <c r="I172" s="38">
        <v>2.1228203184230576E-2</v>
      </c>
      <c r="J172" s="38">
        <v>3.1290743155149903E-2</v>
      </c>
      <c r="K172" s="38">
        <v>8.1967213114753079E-3</v>
      </c>
      <c r="L172" s="38">
        <v>4.2735042735044804E-3</v>
      </c>
      <c r="N172" s="38">
        <v>1.8957345971564177E-3</v>
      </c>
      <c r="O172" s="38">
        <v>2.1806853582554409E-2</v>
      </c>
      <c r="P172" s="38">
        <v>3.0759162303664933E-2</v>
      </c>
      <c r="Q172" s="38">
        <v>7.0422535211267512E-3</v>
      </c>
      <c r="R172" s="38">
        <v>6.1162079510703737E-3</v>
      </c>
      <c r="T172" s="1">
        <v>16</v>
      </c>
    </row>
    <row r="173" spans="1:20" x14ac:dyDescent="0.2">
      <c r="A173" s="1">
        <v>17</v>
      </c>
      <c r="C173" s="38">
        <v>2.9054410987849888E-3</v>
      </c>
      <c r="D173" s="38">
        <v>2.2056074766355183E-2</v>
      </c>
      <c r="E173" s="38">
        <v>1.4809041309431059E-2</v>
      </c>
      <c r="F173" s="38">
        <v>9.0801421239636859E-3</v>
      </c>
      <c r="H173" s="38">
        <v>0</v>
      </c>
      <c r="I173" s="38">
        <v>2.1900519673348162E-2</v>
      </c>
      <c r="J173" s="38">
        <v>3.0341340075853429E-2</v>
      </c>
      <c r="K173" s="38">
        <v>1.6260162601625883E-2</v>
      </c>
      <c r="L173" s="38">
        <v>1.2765957446808418E-2</v>
      </c>
      <c r="N173" s="38">
        <v>3.3112582781456013E-3</v>
      </c>
      <c r="O173" s="38">
        <v>2.2484756097560954E-2</v>
      </c>
      <c r="P173" s="38">
        <v>3.0476190476190546E-2</v>
      </c>
      <c r="Q173" s="38">
        <v>2.0979020979020824E-2</v>
      </c>
      <c r="R173" s="38">
        <v>6.0790273556230456E-3</v>
      </c>
      <c r="T173" s="1">
        <v>17</v>
      </c>
    </row>
    <row r="174" spans="1:20" x14ac:dyDescent="0.2">
      <c r="A174" s="1">
        <v>18</v>
      </c>
      <c r="C174" s="38">
        <v>4.2138530418751596E-3</v>
      </c>
      <c r="D174" s="38">
        <v>2.2311631309436697E-2</v>
      </c>
      <c r="E174" s="38">
        <v>1.4592933947772835E-2</v>
      </c>
      <c r="F174" s="38">
        <v>7.8247261345854024E-3</v>
      </c>
      <c r="H174" s="38">
        <v>2.1745883814849876E-3</v>
      </c>
      <c r="I174" s="38">
        <v>2.2520886305848142E-2</v>
      </c>
      <c r="J174" s="38">
        <v>2.8220858895705581E-2</v>
      </c>
      <c r="K174" s="38">
        <v>1.3333333333333419E-2</v>
      </c>
      <c r="L174" s="38">
        <v>8.4033613445377853E-3</v>
      </c>
      <c r="N174" s="38">
        <v>5.657708628005631E-3</v>
      </c>
      <c r="O174" s="38">
        <v>2.2735743570629907E-2</v>
      </c>
      <c r="P174" s="38">
        <v>2.8342575477510845E-2</v>
      </c>
      <c r="Q174" s="38">
        <v>1.5068493150685036E-2</v>
      </c>
      <c r="R174" s="38">
        <v>9.0634441087613649E-3</v>
      </c>
      <c r="T174" s="1">
        <v>18</v>
      </c>
    </row>
    <row r="175" spans="1:20" x14ac:dyDescent="0.2">
      <c r="A175" s="1">
        <v>19</v>
      </c>
      <c r="C175" s="38">
        <v>3.1471282454760274E-3</v>
      </c>
      <c r="D175" s="38">
        <v>2.2898032200357799E-2</v>
      </c>
      <c r="E175" s="38">
        <v>1.2869038607115746E-2</v>
      </c>
      <c r="F175" s="38">
        <v>7.763975155279379E-3</v>
      </c>
      <c r="H175" s="38">
        <v>1.2399256044637319E-3</v>
      </c>
      <c r="I175" s="38">
        <v>2.2735346358792263E-2</v>
      </c>
      <c r="J175" s="38">
        <v>3.0429594272076255E-2</v>
      </c>
      <c r="K175" s="38">
        <v>1.2280701754385781E-2</v>
      </c>
      <c r="L175" s="38">
        <v>1.2500000000000178E-2</v>
      </c>
      <c r="N175" s="38">
        <v>4.6882325363337696E-3</v>
      </c>
      <c r="O175" s="38">
        <v>2.3688046647230232E-2</v>
      </c>
      <c r="P175" s="38">
        <v>3.1156381066506755E-2</v>
      </c>
      <c r="Q175" s="38">
        <v>1.4844804318488558E-2</v>
      </c>
      <c r="R175" s="38">
        <v>5.9880239520957446E-3</v>
      </c>
      <c r="T175" s="1">
        <v>19</v>
      </c>
    </row>
    <row r="176" spans="1:20" x14ac:dyDescent="0.2">
      <c r="A176" s="1">
        <v>20</v>
      </c>
      <c r="C176" s="38">
        <v>3.6601307189543242E-3</v>
      </c>
      <c r="D176" s="38">
        <v>2.2035676810073346E-2</v>
      </c>
      <c r="E176" s="38">
        <v>1.5695067264573925E-2</v>
      </c>
      <c r="F176" s="38">
        <v>7.7041602465330872E-3</v>
      </c>
      <c r="H176" s="38">
        <v>2.1671826625386803E-3</v>
      </c>
      <c r="I176" s="38">
        <v>2.1882598124348895E-2</v>
      </c>
      <c r="J176" s="38">
        <v>3.0689056166763207E-2</v>
      </c>
      <c r="K176" s="38">
        <v>1.7331022530329365E-2</v>
      </c>
      <c r="L176" s="38">
        <v>1.0288065843621297E-2</v>
      </c>
      <c r="N176" s="38">
        <v>5.1329911339244028E-3</v>
      </c>
      <c r="O176" s="38">
        <v>2.2071911712353121E-2</v>
      </c>
      <c r="P176" s="38">
        <v>3.0214991284137183E-2</v>
      </c>
      <c r="Q176" s="38">
        <v>2.1276595744680771E-2</v>
      </c>
      <c r="R176" s="38">
        <v>5.9523809523809312E-3</v>
      </c>
      <c r="T176" s="1">
        <v>20</v>
      </c>
    </row>
    <row r="177" spans="1:20" x14ac:dyDescent="0.2">
      <c r="A177" s="1">
        <v>21</v>
      </c>
      <c r="C177" s="38">
        <v>4.4282365199270757E-3</v>
      </c>
      <c r="D177" s="38">
        <v>2.2245037645448384E-2</v>
      </c>
      <c r="E177" s="38">
        <v>1.6924208977189048E-2</v>
      </c>
      <c r="F177" s="38">
        <v>8.0275229357797961E-3</v>
      </c>
      <c r="H177" s="38">
        <v>2.780352177942591E-3</v>
      </c>
      <c r="I177" s="38">
        <v>2.209381373215491E-2</v>
      </c>
      <c r="J177" s="38">
        <v>2.9213483146067309E-2</v>
      </c>
      <c r="K177" s="38">
        <v>1.7035775127768327E-2</v>
      </c>
      <c r="L177" s="38">
        <v>6.109979633401208E-3</v>
      </c>
      <c r="N177" s="38">
        <v>5.5710306406686616E-3</v>
      </c>
      <c r="O177" s="38">
        <v>2.2640195053988066E-2</v>
      </c>
      <c r="P177" s="38">
        <v>2.932882120699376E-2</v>
      </c>
      <c r="Q177" s="38">
        <v>2.0833333333333259E-2</v>
      </c>
      <c r="R177" s="38">
        <v>5.9171597633136397E-3</v>
      </c>
      <c r="T177" s="1">
        <v>21</v>
      </c>
    </row>
    <row r="178" spans="1:20" x14ac:dyDescent="0.2">
      <c r="A178" s="1">
        <v>22</v>
      </c>
      <c r="C178" s="38">
        <v>5.9647302904564103E-3</v>
      </c>
      <c r="D178" s="38">
        <v>2.3100100435219151E-2</v>
      </c>
      <c r="E178" s="38">
        <v>1.1577424023154759E-2</v>
      </c>
      <c r="F178" s="38">
        <v>6.8259385665527805E-3</v>
      </c>
      <c r="H178" s="38">
        <v>4.6210720887245316E-3</v>
      </c>
      <c r="I178" s="38">
        <v>2.2613900897904937E-2</v>
      </c>
      <c r="J178" s="38">
        <v>2.893013100436681E-2</v>
      </c>
      <c r="K178" s="38">
        <v>1.0050251256281451E-2</v>
      </c>
      <c r="L178" s="38">
        <v>1.4170040485829816E-2</v>
      </c>
      <c r="N178" s="38">
        <v>8.310249307479145E-3</v>
      </c>
      <c r="O178" s="38">
        <v>2.3501362397820191E-2</v>
      </c>
      <c r="P178" s="38">
        <v>2.9041095890411039E-2</v>
      </c>
      <c r="Q178" s="38">
        <v>1.1479591836734748E-2</v>
      </c>
      <c r="R178" s="38">
        <v>8.8235294117646745E-3</v>
      </c>
      <c r="T178" s="1">
        <v>22</v>
      </c>
    </row>
    <row r="179" spans="1:20" x14ac:dyDescent="0.2">
      <c r="A179" s="1">
        <v>23</v>
      </c>
      <c r="C179" s="38">
        <v>6.444960041247727E-3</v>
      </c>
      <c r="D179" s="38">
        <v>2.3887434554973774E-2</v>
      </c>
      <c r="E179" s="38">
        <v>1.7167381974249052E-2</v>
      </c>
      <c r="F179" s="38">
        <v>7.1563088512240913E-3</v>
      </c>
      <c r="H179" s="38">
        <v>4.9064704078505272E-3</v>
      </c>
      <c r="I179" s="38">
        <v>2.4065040650406377E-2</v>
      </c>
      <c r="J179" s="38">
        <v>2.9708222811670959E-2</v>
      </c>
      <c r="K179" s="38">
        <v>1.8242122719734466E-2</v>
      </c>
      <c r="L179" s="38">
        <v>9.9800399201597223E-3</v>
      </c>
      <c r="N179" s="38">
        <v>9.6153846153845812E-3</v>
      </c>
      <c r="O179" s="38">
        <v>2.4625623960066401E-2</v>
      </c>
      <c r="P179" s="38">
        <v>2.9818956336528091E-2</v>
      </c>
      <c r="Q179" s="38">
        <v>2.2698612862547263E-2</v>
      </c>
      <c r="R179" s="38">
        <v>5.8309037900874383E-3</v>
      </c>
      <c r="T179" s="1">
        <v>23</v>
      </c>
    </row>
    <row r="180" spans="1:20" x14ac:dyDescent="0.2">
      <c r="A180" s="1">
        <v>24</v>
      </c>
      <c r="C180" s="38">
        <v>5.8913934426230163E-3</v>
      </c>
      <c r="D180" s="38">
        <v>2.301054650047929E-2</v>
      </c>
      <c r="E180" s="38">
        <v>2.3909985935302469E-2</v>
      </c>
      <c r="F180" s="38">
        <v>8.9753178758416041E-3</v>
      </c>
      <c r="H180" s="38">
        <v>4.8825144949649069E-3</v>
      </c>
      <c r="I180" s="38">
        <v>2.2864401397268974E-2</v>
      </c>
      <c r="J180" s="38">
        <v>4.4307058217413653E-2</v>
      </c>
      <c r="K180" s="38">
        <v>2.6058631921824116E-2</v>
      </c>
      <c r="L180" s="38">
        <v>1.5810276679841806E-2</v>
      </c>
      <c r="N180" s="38">
        <v>8.1632653061225469E-3</v>
      </c>
      <c r="O180" s="38">
        <v>2.305943488145501E-2</v>
      </c>
      <c r="P180" s="38">
        <v>4.4467425025853213E-2</v>
      </c>
      <c r="Q180" s="38">
        <v>3.3292231812577233E-2</v>
      </c>
      <c r="R180" s="38">
        <v>8.6956521739129933E-3</v>
      </c>
      <c r="T180" s="1">
        <v>24</v>
      </c>
    </row>
    <row r="181" spans="1:20" x14ac:dyDescent="0.2">
      <c r="A181" s="1">
        <v>25</v>
      </c>
      <c r="C181" s="38">
        <v>4.583651642475095E-3</v>
      </c>
      <c r="D181" s="38">
        <v>2.2180568572321091E-2</v>
      </c>
      <c r="E181" s="38">
        <v>2.2664835164835084E-2</v>
      </c>
      <c r="F181" s="38">
        <v>1.0378057820607856E-2</v>
      </c>
      <c r="H181" s="38">
        <v>5.1624658366231646E-3</v>
      </c>
      <c r="I181" s="38">
        <v>2.2042843837317694E-2</v>
      </c>
      <c r="J181" s="38">
        <v>5.4760730143068592E-2</v>
      </c>
      <c r="K181" s="38">
        <v>2.4603174603174738E-2</v>
      </c>
      <c r="L181" s="38">
        <v>9.7276264591441564E-3</v>
      </c>
      <c r="N181" s="38">
        <v>7.1974808816914759E-3</v>
      </c>
      <c r="O181" s="38">
        <v>2.2857142857142909E-2</v>
      </c>
      <c r="P181" s="38">
        <v>5.4455445544554504E-2</v>
      </c>
      <c r="Q181" s="38">
        <v>3.1026252983293423E-2</v>
      </c>
      <c r="R181" s="38">
        <v>5.7471264367816577E-3</v>
      </c>
      <c r="T181" s="1">
        <v>25</v>
      </c>
    </row>
    <row r="182" spans="1:20" x14ac:dyDescent="0.2">
      <c r="A182" s="1">
        <v>26</v>
      </c>
      <c r="C182" s="38">
        <v>3.8022813688212143E-3</v>
      </c>
      <c r="D182" s="38">
        <v>2.1393643031784926E-2</v>
      </c>
      <c r="E182" s="38">
        <v>1.2760241773001946E-2</v>
      </c>
      <c r="F182" s="38">
        <v>7.7035950110049267E-3</v>
      </c>
      <c r="H182" s="38">
        <v>2.4169184290030454E-3</v>
      </c>
      <c r="I182" s="38">
        <v>2.1263669501822458E-2</v>
      </c>
      <c r="J182" s="38">
        <v>3.7885874649205009E-2</v>
      </c>
      <c r="K182" s="38">
        <v>1.3942680092951187E-2</v>
      </c>
      <c r="L182" s="38">
        <v>5.7803468208090791E-3</v>
      </c>
      <c r="N182" s="38">
        <v>5.3595355069226969E-3</v>
      </c>
      <c r="O182" s="38">
        <v>2.1725636250776059E-2</v>
      </c>
      <c r="P182" s="38">
        <v>3.8497652582159647E-2</v>
      </c>
      <c r="Q182" s="38">
        <v>2.0833333333333259E-2</v>
      </c>
      <c r="R182" s="38">
        <v>8.5714285714284522E-3</v>
      </c>
      <c r="T182" s="1">
        <v>26</v>
      </c>
    </row>
    <row r="183" spans="1:20" x14ac:dyDescent="0.2">
      <c r="A183" s="1">
        <v>27</v>
      </c>
      <c r="C183" s="38">
        <v>3.5353535353535026E-3</v>
      </c>
      <c r="D183" s="38">
        <v>2.0945541591861128E-2</v>
      </c>
      <c r="E183" s="38">
        <v>1.0610079575596787E-2</v>
      </c>
      <c r="F183" s="38">
        <v>6.9166363305424028E-3</v>
      </c>
      <c r="H183" s="38">
        <v>1.5069318866787196E-3</v>
      </c>
      <c r="I183" s="38">
        <v>2.0820939916716297E-2</v>
      </c>
      <c r="J183" s="38">
        <v>3.1545741324921162E-2</v>
      </c>
      <c r="K183" s="38">
        <v>1.2223071046600475E-2</v>
      </c>
      <c r="L183" s="38">
        <v>5.7471264367816577E-3</v>
      </c>
      <c r="N183" s="38">
        <v>4.8867170146600358E-3</v>
      </c>
      <c r="O183" s="38">
        <v>2.1263669501822458E-2</v>
      </c>
      <c r="P183" s="38">
        <v>3.1645569620253111E-2</v>
      </c>
      <c r="Q183" s="38">
        <v>1.7006802721088565E-2</v>
      </c>
      <c r="R183" s="38">
        <v>1.1331444759206777E-2</v>
      </c>
      <c r="T183" s="1">
        <v>27</v>
      </c>
    </row>
    <row r="184" spans="1:20" x14ac:dyDescent="0.2">
      <c r="A184" s="1">
        <v>28</v>
      </c>
      <c r="C184" s="38">
        <v>3.5228988424760299E-3</v>
      </c>
      <c r="D184" s="38">
        <v>2.1395076201641494E-2</v>
      </c>
      <c r="E184" s="38">
        <v>9.8425196850393526E-3</v>
      </c>
      <c r="F184" s="38">
        <v>6.8691250903831769E-3</v>
      </c>
      <c r="H184" s="38">
        <v>1.5046644598255554E-3</v>
      </c>
      <c r="I184" s="38">
        <v>2.1270396270396175E-2</v>
      </c>
      <c r="J184" s="38">
        <v>3.1891655744866743E-2</v>
      </c>
      <c r="K184" s="38">
        <v>1.2075471698113294E-2</v>
      </c>
      <c r="L184" s="38">
        <v>7.6190476190476364E-3</v>
      </c>
      <c r="N184" s="38">
        <v>4.8629531388151293E-3</v>
      </c>
      <c r="O184" s="38">
        <v>2.1713265913147151E-2</v>
      </c>
      <c r="P184" s="38">
        <v>3.1989482909728251E-2</v>
      </c>
      <c r="Q184" s="38">
        <v>1.7837235228539638E-2</v>
      </c>
      <c r="R184" s="38">
        <v>8.4033613445377853E-3</v>
      </c>
      <c r="T184" s="1">
        <v>28</v>
      </c>
    </row>
    <row r="185" spans="1:20" x14ac:dyDescent="0.2">
      <c r="A185" s="1">
        <v>29</v>
      </c>
      <c r="C185" s="38">
        <v>3.5105315947843163E-3</v>
      </c>
      <c r="D185" s="38">
        <v>2.1233859397417509E-2</v>
      </c>
      <c r="E185" s="38">
        <v>1.1046133853151341E-2</v>
      </c>
      <c r="F185" s="38">
        <v>6.8222621184919063E-3</v>
      </c>
      <c r="H185" s="38">
        <v>1.8028846153845812E-3</v>
      </c>
      <c r="I185" s="38">
        <v>2.1398002853067144E-2</v>
      </c>
      <c r="J185" s="38">
        <v>3.1752751905165022E-2</v>
      </c>
      <c r="K185" s="38">
        <v>1.1931394481730084E-2</v>
      </c>
      <c r="L185" s="38">
        <v>5.6710775047259521E-3</v>
      </c>
      <c r="N185" s="38">
        <v>4.8394192696876726E-3</v>
      </c>
      <c r="O185" s="38">
        <v>2.1834061135371119E-2</v>
      </c>
      <c r="P185" s="38">
        <v>3.1422505307855619E-2</v>
      </c>
      <c r="Q185" s="38">
        <v>1.7524644030668002E-2</v>
      </c>
      <c r="R185" s="38">
        <v>1.1111111111111072E-2</v>
      </c>
      <c r="T185" s="1">
        <v>29</v>
      </c>
    </row>
    <row r="186" spans="1:20" x14ac:dyDescent="0.2">
      <c r="A186" s="1">
        <v>30</v>
      </c>
      <c r="C186" s="38">
        <v>3.4982508745624585E-3</v>
      </c>
      <c r="D186" s="38">
        <v>2.1635290812025643E-2</v>
      </c>
      <c r="E186" s="38">
        <v>1.0282776349614497E-2</v>
      </c>
      <c r="F186" s="38">
        <v>6.7760342368046178E-3</v>
      </c>
      <c r="H186" s="38">
        <v>1.4997000599878962E-3</v>
      </c>
      <c r="I186" s="38">
        <v>2.1508379888268259E-2</v>
      </c>
      <c r="J186" s="38">
        <v>3.1596224866639266E-2</v>
      </c>
      <c r="K186" s="38">
        <v>1.179071481208549E-2</v>
      </c>
      <c r="L186" s="38">
        <v>7.5187969924812581E-3</v>
      </c>
      <c r="N186" s="38">
        <v>5.2539404553415547E-3</v>
      </c>
      <c r="O186" s="38">
        <v>2.1937321937321785E-2</v>
      </c>
      <c r="P186" s="38">
        <v>3.170028818443793E-2</v>
      </c>
      <c r="Q186" s="38">
        <v>1.7222820236813874E-2</v>
      </c>
      <c r="R186" s="38">
        <v>8.2417582417582125E-3</v>
      </c>
      <c r="T186" s="1">
        <v>30</v>
      </c>
    </row>
    <row r="187" spans="1:20" x14ac:dyDescent="0.2">
      <c r="H187" s="2"/>
    </row>
    <row r="188" spans="1:20" ht="15.75" x14ac:dyDescent="0.25">
      <c r="A188" s="31" t="s">
        <v>249</v>
      </c>
      <c r="B188" s="4"/>
      <c r="C188" s="4"/>
      <c r="D188" s="4"/>
      <c r="E188" s="4"/>
      <c r="F188" s="4"/>
      <c r="G188" s="4"/>
      <c r="H188" s="4"/>
      <c r="I188" s="4"/>
      <c r="J188" s="4"/>
      <c r="K188" s="4"/>
      <c r="L188" s="4"/>
      <c r="M188" s="4"/>
      <c r="N188" s="4"/>
      <c r="O188" s="4"/>
      <c r="P188" s="4"/>
      <c r="Q188" s="4"/>
      <c r="R188" s="4"/>
      <c r="S188" s="4"/>
      <c r="T188" s="31"/>
    </row>
    <row r="189" spans="1:20" ht="15.75" x14ac:dyDescent="0.25">
      <c r="A189" s="31" t="s">
        <v>119</v>
      </c>
      <c r="B189" s="4"/>
      <c r="C189" s="4"/>
      <c r="D189" s="4"/>
      <c r="E189" s="4"/>
      <c r="F189" s="4"/>
      <c r="G189" s="4"/>
      <c r="H189" s="4"/>
      <c r="I189" s="4"/>
      <c r="J189" s="4"/>
      <c r="K189" s="4"/>
      <c r="L189" s="4"/>
      <c r="M189" s="4"/>
      <c r="N189" s="4"/>
      <c r="O189" s="4"/>
      <c r="P189" s="4"/>
      <c r="Q189" s="4"/>
      <c r="R189" s="4"/>
      <c r="S189" s="4"/>
      <c r="T189" s="31"/>
    </row>
    <row r="190" spans="1:20" ht="15.75" x14ac:dyDescent="0.25">
      <c r="A190" s="31"/>
      <c r="B190" s="4"/>
      <c r="C190" s="4"/>
      <c r="D190" s="4"/>
      <c r="E190" s="4"/>
      <c r="F190" s="4"/>
      <c r="G190" s="4"/>
      <c r="H190" s="4"/>
      <c r="I190" s="4"/>
      <c r="J190" s="4"/>
      <c r="K190" s="4"/>
      <c r="L190" s="4"/>
      <c r="M190" s="4"/>
      <c r="N190" s="4"/>
      <c r="O190" s="4"/>
      <c r="P190" s="4"/>
      <c r="Q190" s="4"/>
      <c r="R190" s="4"/>
      <c r="S190" s="4"/>
      <c r="T190" s="4"/>
    </row>
    <row r="191" spans="1:20" ht="7.5" customHeight="1" x14ac:dyDescent="0.25">
      <c r="A191" s="30"/>
      <c r="C191"/>
      <c r="T191"/>
    </row>
    <row r="192" spans="1:20" x14ac:dyDescent="0.2">
      <c r="C192" s="25" t="s">
        <v>122</v>
      </c>
      <c r="D192" s="25"/>
      <c r="E192" s="25"/>
      <c r="F192" s="25"/>
      <c r="H192" s="25" t="s">
        <v>123</v>
      </c>
      <c r="I192" s="25"/>
      <c r="J192" s="25"/>
      <c r="K192" s="25"/>
      <c r="L192" s="4"/>
      <c r="N192" s="25" t="s">
        <v>124</v>
      </c>
      <c r="O192" s="25"/>
      <c r="P192" s="25"/>
      <c r="Q192" s="25"/>
      <c r="R192" s="4"/>
    </row>
    <row r="193" spans="1:20" x14ac:dyDescent="0.2">
      <c r="A193" s="1" t="s">
        <v>41</v>
      </c>
      <c r="C193" s="1" t="s">
        <v>32</v>
      </c>
      <c r="D193" s="1" t="s">
        <v>125</v>
      </c>
      <c r="E193" s="1" t="s">
        <v>33</v>
      </c>
      <c r="F193" s="1" t="s">
        <v>126</v>
      </c>
      <c r="G193" s="1"/>
      <c r="H193" s="1" t="s">
        <v>32</v>
      </c>
      <c r="I193" s="1" t="s">
        <v>125</v>
      </c>
      <c r="J193" s="1" t="s">
        <v>127</v>
      </c>
      <c r="K193" s="1" t="s">
        <v>33</v>
      </c>
      <c r="L193" s="1" t="s">
        <v>128</v>
      </c>
      <c r="M193" s="1"/>
      <c r="N193" s="1" t="s">
        <v>32</v>
      </c>
      <c r="O193" s="1" t="s">
        <v>125</v>
      </c>
      <c r="P193" s="1" t="s">
        <v>127</v>
      </c>
      <c r="Q193" s="1" t="s">
        <v>33</v>
      </c>
      <c r="R193" s="1" t="s">
        <v>128</v>
      </c>
      <c r="T193" s="1" t="s">
        <v>41</v>
      </c>
    </row>
    <row r="194" spans="1:20" x14ac:dyDescent="0.2">
      <c r="A194" s="1">
        <v>1</v>
      </c>
      <c r="C194" s="38">
        <v>2.457627118644079E-2</v>
      </c>
      <c r="D194" s="38">
        <v>-1.5693967631191796E-2</v>
      </c>
      <c r="E194" s="38">
        <v>-1.4464802314368197E-2</v>
      </c>
      <c r="F194" s="38">
        <v>9.69081679741568E-3</v>
      </c>
      <c r="H194" s="38">
        <v>1.3078470824949617E-2</v>
      </c>
      <c r="I194" s="38">
        <v>-1.6024036054081092E-2</v>
      </c>
      <c r="J194" s="38">
        <v>7.763975155279379E-3</v>
      </c>
      <c r="K194" s="38">
        <v>0</v>
      </c>
      <c r="L194" s="38">
        <v>1.2886597938144506E-2</v>
      </c>
      <c r="N194" s="38">
        <v>1.4381591562799834E-3</v>
      </c>
      <c r="O194" s="38">
        <v>-1.6129032258064613E-2</v>
      </c>
      <c r="P194" s="38">
        <v>8.5763293310463506E-3</v>
      </c>
      <c r="Q194" s="38">
        <v>-2.9350104821802891E-2</v>
      </c>
      <c r="R194" s="38">
        <v>1.6025641025640969E-2</v>
      </c>
      <c r="T194" s="1">
        <v>1</v>
      </c>
    </row>
    <row r="195" spans="1:20" x14ac:dyDescent="0.2">
      <c r="A195" s="1">
        <v>2</v>
      </c>
      <c r="C195" s="38">
        <v>1.3785497656465306E-2</v>
      </c>
      <c r="D195" s="38">
        <v>4.0358744394618729E-2</v>
      </c>
      <c r="E195" s="38">
        <v>9.7847358121330164E-3</v>
      </c>
      <c r="F195" s="38">
        <v>2.6965265082266932E-2</v>
      </c>
      <c r="H195" s="38">
        <v>8.6064217146639699E-3</v>
      </c>
      <c r="I195" s="38">
        <v>3.1552162849872722E-2</v>
      </c>
      <c r="J195" s="38">
        <v>5.00770416024654E-2</v>
      </c>
      <c r="K195" s="38">
        <v>2.3501762632196499E-3</v>
      </c>
      <c r="L195" s="38">
        <v>1.5267175572519109E-2</v>
      </c>
      <c r="N195" s="38">
        <v>1.4360938247965915E-3</v>
      </c>
      <c r="O195" s="38">
        <v>1.9870839542970753E-2</v>
      </c>
      <c r="P195" s="38">
        <v>7.7380952380952328E-2</v>
      </c>
      <c r="Q195" s="38">
        <v>5.8315334773218153E-2</v>
      </c>
      <c r="R195" s="38">
        <v>1.8927444794952786E-2</v>
      </c>
      <c r="T195" s="1">
        <v>2</v>
      </c>
    </row>
    <row r="196" spans="1:20" x14ac:dyDescent="0.2">
      <c r="A196" s="1">
        <v>3</v>
      </c>
      <c r="C196" s="38">
        <v>-5.4392167527883561E-4</v>
      </c>
      <c r="D196" s="38">
        <v>6.2260536398468513E-3</v>
      </c>
      <c r="E196" s="38">
        <v>1.744186046511631E-2</v>
      </c>
      <c r="F196" s="38">
        <v>1.023587004895421E-2</v>
      </c>
      <c r="H196" s="38">
        <v>-3.2819166393173171E-3</v>
      </c>
      <c r="I196" s="38">
        <v>4.9333991119882015E-3</v>
      </c>
      <c r="J196" s="38">
        <v>2.2010271460013442E-3</v>
      </c>
      <c r="K196" s="38">
        <v>3.5169988276670949E-3</v>
      </c>
      <c r="L196" s="38">
        <v>7.5187969924810361E-3</v>
      </c>
      <c r="N196" s="38">
        <v>-7.6481835564053968E-3</v>
      </c>
      <c r="O196" s="38">
        <v>1.9483682415977199E-3</v>
      </c>
      <c r="P196" s="38">
        <v>1.1049723756906049E-2</v>
      </c>
      <c r="Q196" s="38">
        <v>7.3469387755101812E-2</v>
      </c>
      <c r="R196" s="38">
        <v>3.0959752321981782E-3</v>
      </c>
      <c r="T196" s="1">
        <v>3</v>
      </c>
    </row>
    <row r="197" spans="1:20" x14ac:dyDescent="0.2">
      <c r="A197" s="1">
        <v>4</v>
      </c>
      <c r="C197" s="38">
        <v>5.7142857142857828E-3</v>
      </c>
      <c r="D197" s="38">
        <v>9.5192765349834119E-3</v>
      </c>
      <c r="E197" s="38">
        <v>4.1904761904761889E-2</v>
      </c>
      <c r="F197" s="38">
        <v>7.4889867841410052E-3</v>
      </c>
      <c r="H197" s="38">
        <v>4.939084622983092E-3</v>
      </c>
      <c r="I197" s="38">
        <v>1.1291114383897849E-2</v>
      </c>
      <c r="J197" s="38">
        <v>1.4641288433382194E-2</v>
      </c>
      <c r="K197" s="38">
        <v>4.3224299065420357E-2</v>
      </c>
      <c r="L197" s="38">
        <v>4.9751243781095411E-3</v>
      </c>
      <c r="N197" s="38">
        <v>3.8535645472059787E-3</v>
      </c>
      <c r="O197" s="38">
        <v>1.1667476908118646E-2</v>
      </c>
      <c r="P197" s="38">
        <v>1.5612802498048417E-2</v>
      </c>
      <c r="Q197" s="38">
        <v>7.2243346007604625E-2</v>
      </c>
      <c r="R197" s="38">
        <v>6.1728395061726449E-3</v>
      </c>
      <c r="T197" s="1">
        <v>4</v>
      </c>
    </row>
    <row r="198" spans="1:20" x14ac:dyDescent="0.2">
      <c r="A198" s="1">
        <v>5</v>
      </c>
      <c r="C198" s="38">
        <v>1.7857142857142794E-2</v>
      </c>
      <c r="D198" s="38">
        <v>1.225836869401209E-2</v>
      </c>
      <c r="E198" s="38">
        <v>4.8446069469835651E-2</v>
      </c>
      <c r="F198" s="38">
        <v>5.2470485351987506E-3</v>
      </c>
      <c r="H198" s="38">
        <v>1.5727391874180929E-2</v>
      </c>
      <c r="I198" s="38">
        <v>1.4077669902912593E-2</v>
      </c>
      <c r="J198" s="38">
        <v>1.8759018759018753E-2</v>
      </c>
      <c r="K198" s="38">
        <v>5.5991041433370636E-2</v>
      </c>
      <c r="L198" s="38">
        <v>1.2376237623762387E-2</v>
      </c>
      <c r="N198" s="38">
        <v>1.6794625719769751E-2</v>
      </c>
      <c r="O198" s="38">
        <v>1.5377222489187936E-2</v>
      </c>
      <c r="P198" s="38">
        <v>1.9984627209838512E-2</v>
      </c>
      <c r="Q198" s="38">
        <v>7.6241134751773076E-2</v>
      </c>
      <c r="R198" s="38">
        <v>1.5337423312883569E-2</v>
      </c>
      <c r="T198" s="1">
        <v>5</v>
      </c>
    </row>
    <row r="199" spans="1:20" x14ac:dyDescent="0.2">
      <c r="A199" s="1">
        <v>6</v>
      </c>
      <c r="C199" s="38">
        <v>1.8075491759702356E-2</v>
      </c>
      <c r="D199" s="38">
        <v>1.6767582673497872E-2</v>
      </c>
      <c r="E199" s="38">
        <v>3.4001743679162866E-2</v>
      </c>
      <c r="F199" s="38">
        <v>4.3497172683775176E-3</v>
      </c>
      <c r="H199" s="38">
        <v>1.7741935483871041E-2</v>
      </c>
      <c r="I199" s="38">
        <v>1.7711823839157592E-2</v>
      </c>
      <c r="J199" s="38">
        <v>2.2662889518413554E-2</v>
      </c>
      <c r="K199" s="38">
        <v>3.9236479321315132E-2</v>
      </c>
      <c r="L199" s="38">
        <v>9.7799511002445438E-3</v>
      </c>
      <c r="N199" s="38">
        <v>1.7461066540821024E-2</v>
      </c>
      <c r="O199" s="38">
        <v>1.7983909133932885E-2</v>
      </c>
      <c r="P199" s="38">
        <v>2.3360964581763399E-2</v>
      </c>
      <c r="Q199" s="38">
        <v>4.6128500823723106E-2</v>
      </c>
      <c r="R199" s="38">
        <v>1.5105740181268867E-2</v>
      </c>
      <c r="T199" s="1">
        <v>6</v>
      </c>
    </row>
    <row r="200" spans="1:20" x14ac:dyDescent="0.2">
      <c r="A200" s="1">
        <v>7</v>
      </c>
      <c r="C200" s="38">
        <v>1.0443864229765065E-2</v>
      </c>
      <c r="D200" s="38">
        <v>1.8323408153916754E-2</v>
      </c>
      <c r="E200" s="38">
        <v>2.1079258010118007E-2</v>
      </c>
      <c r="F200" s="38">
        <v>4.3308791684713022E-3</v>
      </c>
      <c r="H200" s="38">
        <v>9.5087163232963068E-3</v>
      </c>
      <c r="I200" s="38">
        <v>2.2107243650046904E-2</v>
      </c>
      <c r="J200" s="38">
        <v>2.3545706371191022E-2</v>
      </c>
      <c r="K200" s="38">
        <v>2.1428571428571352E-2</v>
      </c>
      <c r="L200" s="38">
        <v>7.2639225181598821E-3</v>
      </c>
      <c r="N200" s="38">
        <v>1.0204081632653184E-2</v>
      </c>
      <c r="O200" s="38">
        <v>2.4174802417480157E-2</v>
      </c>
      <c r="P200" s="38">
        <v>2.5773195876288568E-2</v>
      </c>
      <c r="Q200" s="38">
        <v>2.2047244094488327E-2</v>
      </c>
      <c r="R200" s="38">
        <v>1.1904761904761862E-2</v>
      </c>
      <c r="T200" s="1">
        <v>7</v>
      </c>
    </row>
    <row r="201" spans="1:20" x14ac:dyDescent="0.2">
      <c r="A201" s="1">
        <v>8</v>
      </c>
      <c r="C201" s="38">
        <v>8.5271317829456184E-3</v>
      </c>
      <c r="D201" s="38">
        <v>1.9793072424651337E-2</v>
      </c>
      <c r="E201" s="38">
        <v>1.6515276630883591E-2</v>
      </c>
      <c r="F201" s="38">
        <v>6.8995256576109831E-3</v>
      </c>
      <c r="H201" s="38">
        <v>7.5353218210361117E-3</v>
      </c>
      <c r="I201" s="38">
        <v>2.1168890934192497E-2</v>
      </c>
      <c r="J201" s="38">
        <v>2.4357239512855289E-2</v>
      </c>
      <c r="K201" s="38">
        <v>1.7982017982018039E-2</v>
      </c>
      <c r="L201" s="38">
        <v>4.8076923076922906E-3</v>
      </c>
      <c r="N201" s="38">
        <v>8.7235996326904264E-3</v>
      </c>
      <c r="O201" s="38">
        <v>2.1334543803903649E-2</v>
      </c>
      <c r="P201" s="38">
        <v>2.5843503230437825E-2</v>
      </c>
      <c r="Q201" s="38">
        <v>2.003081664098616E-2</v>
      </c>
      <c r="R201" s="38">
        <v>8.8235294117646745E-3</v>
      </c>
      <c r="T201" s="1">
        <v>8</v>
      </c>
    </row>
    <row r="202" spans="1:20" x14ac:dyDescent="0.2">
      <c r="A202" s="1">
        <v>9</v>
      </c>
      <c r="C202" s="38">
        <v>3.8431975403534491E-3</v>
      </c>
      <c r="D202" s="38">
        <v>1.9408910454344896E-2</v>
      </c>
      <c r="E202" s="38">
        <v>1.380991064175463E-2</v>
      </c>
      <c r="F202" s="38">
        <v>5.9957173447535705E-3</v>
      </c>
      <c r="H202" s="38">
        <v>2.1813649111870337E-3</v>
      </c>
      <c r="I202" s="38">
        <v>2.0279405137449302E-2</v>
      </c>
      <c r="J202" s="38">
        <v>2.4438573315719969E-2</v>
      </c>
      <c r="K202" s="38">
        <v>1.4720314033366044E-2</v>
      </c>
      <c r="L202" s="38">
        <v>7.1770334928229484E-3</v>
      </c>
      <c r="N202" s="38">
        <v>4.0964952207556138E-3</v>
      </c>
      <c r="O202" s="38">
        <v>2.0000000000000018E-2</v>
      </c>
      <c r="P202" s="38">
        <v>2.5892232330301024E-2</v>
      </c>
      <c r="Q202" s="38">
        <v>1.5105740181268867E-2</v>
      </c>
      <c r="R202" s="38">
        <v>5.8309037900874383E-3</v>
      </c>
      <c r="T202" s="1">
        <v>9</v>
      </c>
    </row>
    <row r="203" spans="1:20" x14ac:dyDescent="0.2">
      <c r="A203" s="1">
        <v>10</v>
      </c>
      <c r="C203" s="38">
        <v>8.4226646248084514E-3</v>
      </c>
      <c r="D203" s="38">
        <v>1.9472090004327036E-2</v>
      </c>
      <c r="E203" s="38">
        <v>1.4423076923076872E-2</v>
      </c>
      <c r="F203" s="38">
        <v>5.5342699020861641E-3</v>
      </c>
      <c r="H203" s="38">
        <v>7.7736318407959359E-3</v>
      </c>
      <c r="I203" s="38">
        <v>2.0318021201413572E-2</v>
      </c>
      <c r="J203" s="38">
        <v>2.4500322372662753E-2</v>
      </c>
      <c r="K203" s="38">
        <v>1.5473887814313469E-2</v>
      </c>
      <c r="L203" s="38">
        <v>4.7505938242280443E-3</v>
      </c>
      <c r="N203" s="38">
        <v>1.0426110607434369E-2</v>
      </c>
      <c r="O203" s="38">
        <v>2.0479302832244084E-2</v>
      </c>
      <c r="P203" s="38">
        <v>2.52387448840381E-2</v>
      </c>
      <c r="Q203" s="38">
        <v>1.7857142857142794E-2</v>
      </c>
      <c r="R203" s="38">
        <v>5.7971014492754769E-3</v>
      </c>
      <c r="T203" s="1">
        <v>10</v>
      </c>
    </row>
    <row r="204" spans="1:20" x14ac:dyDescent="0.2">
      <c r="A204" s="1">
        <v>11</v>
      </c>
      <c r="C204" s="38">
        <v>6.0744115413819966E-3</v>
      </c>
      <c r="D204" s="38">
        <v>2.0373514431239359E-2</v>
      </c>
      <c r="E204" s="38">
        <v>1.5007898894154881E-2</v>
      </c>
      <c r="F204" s="38">
        <v>7.6206604572395253E-3</v>
      </c>
      <c r="H204" s="38">
        <v>4.3196544276458138E-3</v>
      </c>
      <c r="I204" s="38">
        <v>2.1212121212121238E-2</v>
      </c>
      <c r="J204" s="38">
        <v>2.5173064820641855E-2</v>
      </c>
      <c r="K204" s="38">
        <v>1.4285714285714235E-2</v>
      </c>
      <c r="L204" s="38">
        <v>4.7281323877068626E-3</v>
      </c>
      <c r="N204" s="38">
        <v>7.6267384477344269E-3</v>
      </c>
      <c r="O204" s="38">
        <v>2.0922288642186038E-2</v>
      </c>
      <c r="P204" s="38">
        <v>2.7278775781769848E-2</v>
      </c>
      <c r="Q204" s="38">
        <v>2.4853801169590684E-2</v>
      </c>
      <c r="R204" s="38">
        <v>5.7636887608070175E-3</v>
      </c>
      <c r="T204" s="1">
        <v>11</v>
      </c>
    </row>
    <row r="205" spans="1:20" x14ac:dyDescent="0.2">
      <c r="A205" s="1">
        <v>12</v>
      </c>
      <c r="C205" s="38">
        <v>4.0251572327043572E-3</v>
      </c>
      <c r="D205" s="38">
        <v>2.0798668885191329E-2</v>
      </c>
      <c r="E205" s="38">
        <v>3.112840466926059E-3</v>
      </c>
      <c r="F205" s="38">
        <v>6.302521008403339E-3</v>
      </c>
      <c r="H205" s="38">
        <v>3.6866359447005337E-3</v>
      </c>
      <c r="I205" s="38">
        <v>2.161933022467144E-2</v>
      </c>
      <c r="J205" s="38">
        <v>2.516881522406389E-2</v>
      </c>
      <c r="K205" s="38">
        <v>-9.3896713615015948E-4</v>
      </c>
      <c r="L205" s="38">
        <v>7.058823529411784E-3</v>
      </c>
      <c r="N205" s="38">
        <v>5.3428317008012982E-3</v>
      </c>
      <c r="O205" s="38">
        <v>2.1329987452948673E-2</v>
      </c>
      <c r="P205" s="38">
        <v>2.5906735751295429E-2</v>
      </c>
      <c r="Q205" s="38">
        <v>0</v>
      </c>
      <c r="R205" s="38">
        <v>8.5959885386819312E-3</v>
      </c>
      <c r="T205" s="1">
        <v>12</v>
      </c>
    </row>
    <row r="206" spans="1:20" x14ac:dyDescent="0.2">
      <c r="A206" s="1">
        <v>13</v>
      </c>
      <c r="C206" s="38">
        <v>2.5056376847907291E-3</v>
      </c>
      <c r="D206" s="38">
        <v>2.2004889975550057E-2</v>
      </c>
      <c r="E206" s="38">
        <v>-4.6547711404190117E-3</v>
      </c>
      <c r="F206" s="38">
        <v>5.8455114822546506E-3</v>
      </c>
      <c r="H206" s="38">
        <v>2.7548209366390353E-3</v>
      </c>
      <c r="I206" s="38">
        <v>2.19917012448132E-2</v>
      </c>
      <c r="J206" s="38">
        <v>2.4550898203592908E-2</v>
      </c>
      <c r="K206" s="38">
        <v>-9.3984962406016281E-3</v>
      </c>
      <c r="L206" s="38">
        <v>4.6728971962615162E-3</v>
      </c>
      <c r="N206" s="38">
        <v>2.2143489813994943E-3</v>
      </c>
      <c r="O206" s="38">
        <v>2.0884520884520752E-2</v>
      </c>
      <c r="P206" s="38">
        <v>2.5883838383838453E-2</v>
      </c>
      <c r="Q206" s="38">
        <v>-1.4265335235377985E-2</v>
      </c>
      <c r="R206" s="38">
        <v>5.6818181818181213E-3</v>
      </c>
      <c r="T206" s="1">
        <v>13</v>
      </c>
    </row>
    <row r="207" spans="1:20" x14ac:dyDescent="0.2">
      <c r="A207" s="1">
        <v>14</v>
      </c>
      <c r="C207" s="38">
        <v>-1.4996250937264755E-3</v>
      </c>
      <c r="D207" s="38">
        <v>2.1929824561403466E-2</v>
      </c>
      <c r="E207" s="38">
        <v>-2.3382696804363778E-3</v>
      </c>
      <c r="F207" s="38">
        <v>6.2266500622665255E-3</v>
      </c>
      <c r="H207" s="38">
        <v>-3.0525030525030417E-3</v>
      </c>
      <c r="I207" s="38">
        <v>2.1518473406414884E-2</v>
      </c>
      <c r="J207" s="38">
        <v>2.5131502045587339E-2</v>
      </c>
      <c r="K207" s="38">
        <v>-6.6413662239087623E-3</v>
      </c>
      <c r="L207" s="38">
        <v>9.302325581395321E-3</v>
      </c>
      <c r="N207" s="38">
        <v>-1.7675651789659241E-3</v>
      </c>
      <c r="O207" s="38">
        <v>2.0457280385078214E-2</v>
      </c>
      <c r="P207" s="38">
        <v>2.6461538461538536E-2</v>
      </c>
      <c r="Q207" s="38">
        <v>-8.6830680173661801E-3</v>
      </c>
      <c r="R207" s="38">
        <v>8.4745762711864181E-3</v>
      </c>
      <c r="T207" s="1">
        <v>14</v>
      </c>
    </row>
    <row r="208" spans="1:20" x14ac:dyDescent="0.2">
      <c r="A208" s="1">
        <v>15</v>
      </c>
      <c r="C208" s="38">
        <v>0</v>
      </c>
      <c r="D208" s="38">
        <v>2.2239563012095287E-2</v>
      </c>
      <c r="E208" s="38">
        <v>-7.8125000000006661E-4</v>
      </c>
      <c r="F208" s="38">
        <v>6.1881188118813046E-3</v>
      </c>
      <c r="H208" s="38">
        <v>-1.8371096142068E-3</v>
      </c>
      <c r="I208" s="38">
        <v>2.1462639109697923E-2</v>
      </c>
      <c r="J208" s="38">
        <v>2.5655644241733055E-2</v>
      </c>
      <c r="K208" s="38">
        <v>-5.7306590257880652E-3</v>
      </c>
      <c r="L208" s="38">
        <v>4.6082949308756671E-3</v>
      </c>
      <c r="N208" s="38">
        <v>0</v>
      </c>
      <c r="O208" s="38">
        <v>2.0440251572326984E-2</v>
      </c>
      <c r="P208" s="38">
        <v>2.6978417266187105E-2</v>
      </c>
      <c r="Q208" s="38">
        <v>-5.8394160583942201E-3</v>
      </c>
      <c r="R208" s="38">
        <v>8.4033613445377853E-3</v>
      </c>
      <c r="T208" s="1">
        <v>15</v>
      </c>
    </row>
    <row r="209" spans="1:20" x14ac:dyDescent="0.2">
      <c r="A209" s="1">
        <v>16</v>
      </c>
      <c r="C209" s="38">
        <v>1.7521902377972687E-3</v>
      </c>
      <c r="D209" s="38">
        <v>2.2137404580152786E-2</v>
      </c>
      <c r="E209" s="38">
        <v>1.0164190774042181E-2</v>
      </c>
      <c r="F209" s="38">
        <v>8.2000820008198971E-3</v>
      </c>
      <c r="H209" s="38">
        <v>-6.134969325154449E-4</v>
      </c>
      <c r="I209" s="38">
        <v>2.217898832684817E-2</v>
      </c>
      <c r="J209" s="38">
        <v>2.6681489716509299E-2</v>
      </c>
      <c r="K209" s="38">
        <v>8.6455331412103043E-3</v>
      </c>
      <c r="L209" s="38">
        <v>4.5871559633026138E-3</v>
      </c>
      <c r="N209" s="38">
        <v>2.6560424966799445E-3</v>
      </c>
      <c r="O209" s="38">
        <v>2.15716486902926E-2</v>
      </c>
      <c r="P209" s="38">
        <v>2.7437244600116983E-2</v>
      </c>
      <c r="Q209" s="38">
        <v>1.6152716593245353E-2</v>
      </c>
      <c r="R209" s="38">
        <v>8.3333333333333037E-3</v>
      </c>
      <c r="T209" s="1">
        <v>16</v>
      </c>
    </row>
    <row r="210" spans="1:20" x14ac:dyDescent="0.2">
      <c r="A210" s="1">
        <v>17</v>
      </c>
      <c r="C210" s="38">
        <v>4.4977511244377322E-3</v>
      </c>
      <c r="D210" s="38">
        <v>2.1284540702016352E-2</v>
      </c>
      <c r="E210" s="38">
        <v>1.4705882352941124E-2</v>
      </c>
      <c r="F210" s="38">
        <v>8.9467263115086126E-3</v>
      </c>
      <c r="H210" s="38">
        <v>3.0693677102517913E-3</v>
      </c>
      <c r="I210" s="38">
        <v>2.2078416444613724E-2</v>
      </c>
      <c r="J210" s="38">
        <v>2.5988088792636699E-2</v>
      </c>
      <c r="K210" s="38">
        <v>1.3333333333333419E-2</v>
      </c>
      <c r="L210" s="38">
        <v>9.1324200913243114E-3</v>
      </c>
      <c r="N210" s="38">
        <v>6.1810154525385741E-3</v>
      </c>
      <c r="O210" s="38">
        <v>2.1870286576169073E-2</v>
      </c>
      <c r="P210" s="38">
        <v>2.7272727272727115E-2</v>
      </c>
      <c r="Q210" s="38">
        <v>2.1676300578034713E-2</v>
      </c>
      <c r="R210" s="38">
        <v>5.5096418732782926E-3</v>
      </c>
      <c r="T210" s="1">
        <v>17</v>
      </c>
    </row>
    <row r="211" spans="1:20" x14ac:dyDescent="0.2">
      <c r="A211" s="1">
        <v>18</v>
      </c>
      <c r="C211" s="38">
        <v>5.2238805970148405E-3</v>
      </c>
      <c r="D211" s="38">
        <v>2.2303473491773307E-2</v>
      </c>
      <c r="E211" s="38">
        <v>1.5255530129672179E-2</v>
      </c>
      <c r="F211" s="38">
        <v>8.46432889963733E-3</v>
      </c>
      <c r="H211" s="38">
        <v>4.8959608323133619E-3</v>
      </c>
      <c r="I211" s="38">
        <v>2.346368715083802E-2</v>
      </c>
      <c r="J211" s="38">
        <v>2.4274406332453813E-2</v>
      </c>
      <c r="K211" s="38">
        <v>1.4097744360902054E-2</v>
      </c>
      <c r="L211" s="38">
        <v>4.5248868778282603E-3</v>
      </c>
      <c r="N211" s="38">
        <v>7.4594120228170802E-3</v>
      </c>
      <c r="O211" s="38">
        <v>2.3616236162361526E-2</v>
      </c>
      <c r="P211" s="38">
        <v>2.5442477876106206E-2</v>
      </c>
      <c r="Q211" s="38">
        <v>2.1216407355021172E-2</v>
      </c>
      <c r="R211" s="38">
        <v>8.2191780821918581E-3</v>
      </c>
      <c r="T211" s="1">
        <v>18</v>
      </c>
    </row>
    <row r="212" spans="1:20" x14ac:dyDescent="0.2">
      <c r="A212" s="1">
        <v>19</v>
      </c>
      <c r="C212" s="38">
        <v>4.9492699826776398E-3</v>
      </c>
      <c r="D212" s="38">
        <v>2.2532188841201783E-2</v>
      </c>
      <c r="E212" s="38">
        <v>1.3523666416228375E-2</v>
      </c>
      <c r="F212" s="38">
        <v>8.3932853717025857E-3</v>
      </c>
      <c r="H212" s="38">
        <v>3.9585870889158326E-3</v>
      </c>
      <c r="I212" s="38">
        <v>2.2925764192139653E-2</v>
      </c>
      <c r="J212" s="38">
        <v>2.6790314270994209E-2</v>
      </c>
      <c r="K212" s="38">
        <v>1.297497683039861E-2</v>
      </c>
      <c r="L212" s="38">
        <v>9.009009009008917E-3</v>
      </c>
      <c r="N212" s="38">
        <v>6.0975609756097615E-3</v>
      </c>
      <c r="O212" s="38">
        <v>2.2710886806056374E-2</v>
      </c>
      <c r="P212" s="38">
        <v>2.8047464940668787E-2</v>
      </c>
      <c r="Q212" s="38">
        <v>1.939058171745156E-2</v>
      </c>
      <c r="R212" s="38">
        <v>5.4347826086955653E-3</v>
      </c>
      <c r="T212" s="1">
        <v>19</v>
      </c>
    </row>
    <row r="213" spans="1:20" x14ac:dyDescent="0.2">
      <c r="A213" s="1">
        <v>20</v>
      </c>
      <c r="C213" s="38">
        <v>4.4324058113764941E-3</v>
      </c>
      <c r="D213" s="38">
        <v>2.2385449457852369E-2</v>
      </c>
      <c r="E213" s="38">
        <v>1.5567086730911672E-2</v>
      </c>
      <c r="F213" s="38">
        <v>7.9270709472849532E-3</v>
      </c>
      <c r="H213" s="38">
        <v>3.9429784652715849E-3</v>
      </c>
      <c r="I213" s="38">
        <v>2.2767698327997188E-2</v>
      </c>
      <c r="J213" s="38">
        <v>2.6091319618665398E-2</v>
      </c>
      <c r="K213" s="38">
        <v>1.3723696248856498E-2</v>
      </c>
      <c r="L213" s="38">
        <v>4.4642857142855874E-3</v>
      </c>
      <c r="N213" s="38">
        <v>6.4935064935063291E-3</v>
      </c>
      <c r="O213" s="38">
        <v>2.2559041240747257E-2</v>
      </c>
      <c r="P213" s="38">
        <v>2.7282266526757581E-2</v>
      </c>
      <c r="Q213" s="38">
        <v>1.9021739130434812E-2</v>
      </c>
      <c r="R213" s="38">
        <v>5.4054054054053502E-3</v>
      </c>
      <c r="T213" s="1">
        <v>20</v>
      </c>
    </row>
    <row r="214" spans="1:20" x14ac:dyDescent="0.2">
      <c r="A214" s="1">
        <v>21</v>
      </c>
      <c r="C214" s="38">
        <v>3.1870556508948322E-3</v>
      </c>
      <c r="D214" s="38">
        <v>2.2237427300718426E-2</v>
      </c>
      <c r="E214" s="38">
        <v>1.6058394160584077E-2</v>
      </c>
      <c r="F214" s="38">
        <v>8.2579630357846323E-3</v>
      </c>
      <c r="H214" s="38">
        <v>3.0211480362538623E-3</v>
      </c>
      <c r="I214" s="38">
        <v>2.2956521739130542E-2</v>
      </c>
      <c r="J214" s="38">
        <v>2.5916870415648052E-2</v>
      </c>
      <c r="K214" s="38">
        <v>1.6245487364620947E-2</v>
      </c>
      <c r="L214" s="38">
        <v>6.6666666666668206E-3</v>
      </c>
      <c r="N214" s="38">
        <v>6.0215053763441606E-3</v>
      </c>
      <c r="O214" s="38">
        <v>2.2750775594622574E-2</v>
      </c>
      <c r="P214" s="38">
        <v>2.6557711950970564E-2</v>
      </c>
      <c r="Q214" s="38">
        <v>2.1333333333333426E-2</v>
      </c>
      <c r="R214" s="38">
        <v>8.0645161290322509E-3</v>
      </c>
      <c r="T214" s="1">
        <v>21</v>
      </c>
    </row>
    <row r="215" spans="1:20" x14ac:dyDescent="0.2">
      <c r="A215" s="1">
        <v>22</v>
      </c>
      <c r="C215" s="38">
        <v>4.6432062561094778E-3</v>
      </c>
      <c r="D215" s="38">
        <v>2.2757697456492698E-2</v>
      </c>
      <c r="E215" s="38">
        <v>1.7241379310344751E-2</v>
      </c>
      <c r="F215" s="38">
        <v>7.0202808112325155E-3</v>
      </c>
      <c r="H215" s="38">
        <v>4.8192771084336616E-3</v>
      </c>
      <c r="I215" s="38">
        <v>2.3121387283236983E-2</v>
      </c>
      <c r="J215" s="38">
        <v>2.5262154432793116E-2</v>
      </c>
      <c r="K215" s="38">
        <v>1.8650088809946785E-2</v>
      </c>
      <c r="L215" s="38">
        <v>1.1037527593819041E-2</v>
      </c>
      <c r="N215" s="38">
        <v>8.1231295425394645E-3</v>
      </c>
      <c r="O215" s="38">
        <v>2.2918773171553664E-2</v>
      </c>
      <c r="P215" s="38">
        <v>2.6368159203979946E-2</v>
      </c>
      <c r="Q215" s="38">
        <v>1.8276762402088753E-2</v>
      </c>
      <c r="R215" s="38">
        <v>8.0000000000000071E-3</v>
      </c>
      <c r="T215" s="1">
        <v>22</v>
      </c>
    </row>
    <row r="216" spans="1:20" x14ac:dyDescent="0.2">
      <c r="A216" s="1">
        <v>23</v>
      </c>
      <c r="C216" s="38">
        <v>8.27049379712963E-3</v>
      </c>
      <c r="D216" s="38">
        <v>2.4214659685863893E-2</v>
      </c>
      <c r="E216" s="38">
        <v>2.1892655367231617E-2</v>
      </c>
      <c r="F216" s="38">
        <v>7.7459333849727585E-3</v>
      </c>
      <c r="H216" s="38">
        <v>8.9928057553956275E-3</v>
      </c>
      <c r="I216" s="38">
        <v>2.4592888002658686E-2</v>
      </c>
      <c r="J216" s="38">
        <v>2.6034402603440254E-2</v>
      </c>
      <c r="K216" s="38">
        <v>2.2667829119441985E-2</v>
      </c>
      <c r="L216" s="38">
        <v>6.5502183406114245E-3</v>
      </c>
      <c r="N216" s="38">
        <v>1.187446988973706E-2</v>
      </c>
      <c r="O216" s="38">
        <v>2.4711696869851751E-2</v>
      </c>
      <c r="P216" s="38">
        <v>2.7144934561318612E-2</v>
      </c>
      <c r="Q216" s="38">
        <v>2.3076923076923217E-2</v>
      </c>
      <c r="R216" s="38">
        <v>7.9365079365079083E-3</v>
      </c>
      <c r="T216" s="1">
        <v>23</v>
      </c>
    </row>
    <row r="217" spans="1:20" x14ac:dyDescent="0.2">
      <c r="A217" s="1">
        <v>24</v>
      </c>
      <c r="C217" s="38">
        <v>9.8914354644148439E-3</v>
      </c>
      <c r="D217" s="38">
        <v>2.3322683706070269E-2</v>
      </c>
      <c r="E217" s="38">
        <v>2.9716655148583238E-2</v>
      </c>
      <c r="F217" s="38">
        <v>9.2236740968485442E-3</v>
      </c>
      <c r="H217" s="38">
        <v>1.0992275698158194E-2</v>
      </c>
      <c r="I217" s="38">
        <v>2.4002594875121686E-2</v>
      </c>
      <c r="J217" s="38">
        <v>3.8966923425464373E-2</v>
      </c>
      <c r="K217" s="38">
        <v>3.239556692242096E-2</v>
      </c>
      <c r="L217" s="38">
        <v>1.0845986984815648E-2</v>
      </c>
      <c r="N217" s="38">
        <v>1.4249790444258226E-2</v>
      </c>
      <c r="O217" s="38">
        <v>2.347266881028931E-2</v>
      </c>
      <c r="P217" s="38">
        <v>4.1057102406795609E-2</v>
      </c>
      <c r="Q217" s="38">
        <v>3.7593984962405846E-2</v>
      </c>
      <c r="R217" s="38">
        <v>1.049868766404205E-2</v>
      </c>
      <c r="T217" s="1">
        <v>24</v>
      </c>
    </row>
    <row r="218" spans="1:20" x14ac:dyDescent="0.2">
      <c r="A218" s="1">
        <v>25</v>
      </c>
      <c r="C218" s="38">
        <v>1.098901098901095E-2</v>
      </c>
      <c r="D218" s="38">
        <v>2.18545113955666E-2</v>
      </c>
      <c r="E218" s="38">
        <v>3.0201342281879207E-2</v>
      </c>
      <c r="F218" s="38">
        <v>1.1043412033511002E-2</v>
      </c>
      <c r="H218" s="38">
        <v>1.1460476050543678E-2</v>
      </c>
      <c r="I218" s="38">
        <v>2.2172949002217335E-2</v>
      </c>
      <c r="J218" s="38">
        <v>4.8408198866114249E-2</v>
      </c>
      <c r="K218" s="38">
        <v>3.3856317093311272E-2</v>
      </c>
      <c r="L218" s="38">
        <v>8.5836909871244149E-3</v>
      </c>
      <c r="N218" s="38">
        <v>1.528925619834709E-2</v>
      </c>
      <c r="O218" s="38">
        <v>2.2306000628337985E-2</v>
      </c>
      <c r="P218" s="38">
        <v>4.9864007252946596E-2</v>
      </c>
      <c r="Q218" s="38">
        <v>4.8309178743961345E-2</v>
      </c>
      <c r="R218" s="38">
        <v>7.7922077922076838E-3</v>
      </c>
      <c r="T218" s="1">
        <v>25</v>
      </c>
    </row>
    <row r="219" spans="1:20" x14ac:dyDescent="0.2">
      <c r="A219" s="1">
        <v>26</v>
      </c>
      <c r="C219" s="38">
        <v>6.6162570888468331E-3</v>
      </c>
      <c r="D219" s="38">
        <v>2.1081576535288971E-2</v>
      </c>
      <c r="E219" s="38">
        <v>1.4983713355048778E-2</v>
      </c>
      <c r="F219" s="38">
        <v>7.532956685499137E-3</v>
      </c>
      <c r="H219" s="38">
        <v>6.391632771644451E-3</v>
      </c>
      <c r="I219" s="38">
        <v>2.1691973969631073E-2</v>
      </c>
      <c r="J219" s="38">
        <v>3.3693843594010175E-2</v>
      </c>
      <c r="K219" s="38">
        <v>1.6773162939297093E-2</v>
      </c>
      <c r="L219" s="38">
        <v>6.382978723404209E-3</v>
      </c>
      <c r="N219" s="38">
        <v>8.9540089540089962E-3</v>
      </c>
      <c r="O219" s="38">
        <v>2.1511985248924503E-2</v>
      </c>
      <c r="P219" s="38">
        <v>3.4974093264248607E-2</v>
      </c>
      <c r="Q219" s="38">
        <v>2.4193548387096975E-2</v>
      </c>
      <c r="R219" s="38">
        <v>3.6082474226803996E-2</v>
      </c>
      <c r="T219" s="1">
        <v>26</v>
      </c>
    </row>
    <row r="220" spans="1:20" x14ac:dyDescent="0.2">
      <c r="A220" s="1">
        <v>27</v>
      </c>
      <c r="C220" s="38">
        <v>5.3990610328638056E-3</v>
      </c>
      <c r="D220" s="38">
        <v>2.0945541591861128E-2</v>
      </c>
      <c r="E220" s="38">
        <v>9.6277278562260094E-3</v>
      </c>
      <c r="F220" s="38">
        <v>6.7289719626169031E-3</v>
      </c>
      <c r="H220" s="38">
        <v>4.9076212471133029E-3</v>
      </c>
      <c r="I220" s="38">
        <v>2.1231422505307851E-2</v>
      </c>
      <c r="J220" s="38">
        <v>2.857142857142847E-2</v>
      </c>
      <c r="K220" s="38">
        <v>1.256873527101332E-2</v>
      </c>
      <c r="L220" s="38">
        <v>8.4566596194501908E-3</v>
      </c>
      <c r="N220" s="38">
        <v>7.2609923356192763E-3</v>
      </c>
      <c r="O220" s="38">
        <v>2.1058965102286331E-2</v>
      </c>
      <c r="P220" s="38">
        <v>2.9620358781810685E-2</v>
      </c>
      <c r="Q220" s="38">
        <v>1.7997750281214753E-2</v>
      </c>
      <c r="R220" s="38">
        <v>1.990049751243772E-2</v>
      </c>
      <c r="T220" s="1">
        <v>27</v>
      </c>
    </row>
    <row r="221" spans="1:20" x14ac:dyDescent="0.2">
      <c r="A221" s="1">
        <v>28</v>
      </c>
      <c r="C221" s="38">
        <v>5.1365865047863224E-3</v>
      </c>
      <c r="D221" s="38">
        <v>2.1395076201641494E-2</v>
      </c>
      <c r="E221" s="38">
        <v>1.0171646535282797E-2</v>
      </c>
      <c r="F221" s="38">
        <v>6.6839955440030074E-3</v>
      </c>
      <c r="H221" s="38">
        <v>4.5963803504738276E-3</v>
      </c>
      <c r="I221" s="38">
        <v>2.1681021681021484E-2</v>
      </c>
      <c r="J221" s="38">
        <v>2.856025039123633E-2</v>
      </c>
      <c r="K221" s="38">
        <v>1.1636927851047307E-2</v>
      </c>
      <c r="L221" s="38">
        <v>6.2893081761006275E-3</v>
      </c>
      <c r="N221" s="38">
        <v>7.2086503804564828E-3</v>
      </c>
      <c r="O221" s="38">
        <v>2.1508544490277171E-2</v>
      </c>
      <c r="P221" s="38">
        <v>2.957860615883301E-2</v>
      </c>
      <c r="Q221" s="38">
        <v>1.6574585635358963E-2</v>
      </c>
      <c r="R221" s="38">
        <v>7.3170731707317138E-3</v>
      </c>
      <c r="T221" s="1">
        <v>28</v>
      </c>
    </row>
    <row r="222" spans="1:20" x14ac:dyDescent="0.2">
      <c r="A222" s="1">
        <v>29</v>
      </c>
      <c r="C222" s="38">
        <v>5.3426248548200661E-3</v>
      </c>
      <c r="D222" s="38">
        <v>2.1520803443328518E-2</v>
      </c>
      <c r="E222" s="38">
        <v>1.0069225928256875E-2</v>
      </c>
      <c r="F222" s="38">
        <v>7.0084839542605692E-3</v>
      </c>
      <c r="H222" s="38">
        <v>4.8613096940235412E-3</v>
      </c>
      <c r="I222" s="38">
        <v>2.1802325581395277E-2</v>
      </c>
      <c r="J222" s="38">
        <v>2.8147584632940426E-2</v>
      </c>
      <c r="K222" s="38">
        <v>1.2269938650306678E-2</v>
      </c>
      <c r="L222" s="38">
        <v>6.2500000000000888E-3</v>
      </c>
      <c r="N222" s="38">
        <v>7.1570576540755937E-3</v>
      </c>
      <c r="O222" s="38">
        <v>2.1632535333141023E-2</v>
      </c>
      <c r="P222" s="38">
        <v>2.9122392758756277E-2</v>
      </c>
      <c r="Q222" s="38">
        <v>1.7391304347826209E-2</v>
      </c>
      <c r="R222" s="38">
        <v>7.2639225181598821E-3</v>
      </c>
      <c r="T222" s="1">
        <v>29</v>
      </c>
    </row>
    <row r="223" spans="1:20" x14ac:dyDescent="0.2">
      <c r="A223" s="1">
        <v>30</v>
      </c>
      <c r="C223" s="38">
        <v>5.3142329020332557E-3</v>
      </c>
      <c r="D223" s="38">
        <v>2.1629213483145948E-2</v>
      </c>
      <c r="E223" s="38">
        <v>9.9688473520249676E-3</v>
      </c>
      <c r="F223" s="38">
        <v>6.959706959706935E-3</v>
      </c>
      <c r="H223" s="38">
        <v>4.5532157085941272E-3</v>
      </c>
      <c r="I223" s="38">
        <v>2.1906116642958828E-2</v>
      </c>
      <c r="J223" s="38">
        <v>2.8486866444691117E-2</v>
      </c>
      <c r="K223" s="38">
        <v>1.2878787878787934E-2</v>
      </c>
      <c r="L223" s="38">
        <v>8.2815734989647449E-3</v>
      </c>
      <c r="N223" s="38">
        <v>7.1061981839717347E-3</v>
      </c>
      <c r="O223" s="38">
        <v>2.1739130434782483E-2</v>
      </c>
      <c r="P223" s="38">
        <v>2.9445506692160839E-2</v>
      </c>
      <c r="Q223" s="38">
        <v>1.8162393162393098E-2</v>
      </c>
      <c r="R223" s="38">
        <v>9.6153846153845812E-3</v>
      </c>
      <c r="T223" s="1">
        <v>30</v>
      </c>
    </row>
    <row r="225" spans="1:20" ht="15.75" x14ac:dyDescent="0.25">
      <c r="A225" s="80" t="s">
        <v>250</v>
      </c>
      <c r="B225" s="59"/>
      <c r="C225" s="59"/>
      <c r="D225" s="59"/>
      <c r="E225" s="59"/>
      <c r="F225" s="59"/>
      <c r="G225" s="59"/>
      <c r="H225" s="59"/>
      <c r="I225" s="59"/>
      <c r="J225" s="59"/>
      <c r="K225" s="59"/>
      <c r="L225" s="59"/>
      <c r="M225" s="59"/>
      <c r="N225" s="59"/>
      <c r="O225" s="59"/>
      <c r="P225" s="59"/>
      <c r="Q225" s="59"/>
      <c r="R225" s="59"/>
      <c r="S225" s="59"/>
      <c r="T225" s="58"/>
    </row>
    <row r="226" spans="1:20" ht="15.75" x14ac:dyDescent="0.25">
      <c r="A226" s="58" t="s">
        <v>109</v>
      </c>
      <c r="B226" s="59"/>
      <c r="C226" s="59"/>
      <c r="D226" s="59"/>
      <c r="E226" s="59"/>
      <c r="F226" s="59"/>
      <c r="G226" s="59"/>
      <c r="H226" s="59"/>
      <c r="I226" s="59"/>
      <c r="J226" s="59"/>
      <c r="K226" s="59"/>
      <c r="L226" s="59"/>
      <c r="M226" s="59"/>
      <c r="N226" s="59"/>
      <c r="O226" s="59"/>
      <c r="P226" s="59"/>
      <c r="Q226" s="59"/>
      <c r="R226" s="59"/>
      <c r="S226" s="59"/>
      <c r="T226" s="58"/>
    </row>
    <row r="227" spans="1:20" ht="15.75" x14ac:dyDescent="0.25">
      <c r="A227" s="58" t="s">
        <v>110</v>
      </c>
      <c r="B227" s="59"/>
      <c r="C227" s="59"/>
      <c r="D227" s="59"/>
      <c r="E227" s="59"/>
      <c r="F227" s="59"/>
      <c r="G227" s="59"/>
      <c r="H227" s="59"/>
      <c r="I227" s="59"/>
      <c r="J227" s="59"/>
      <c r="K227" s="59"/>
      <c r="L227" s="59"/>
      <c r="M227" s="59"/>
      <c r="N227" s="59"/>
      <c r="O227" s="59"/>
      <c r="P227" s="59"/>
      <c r="Q227" s="59"/>
      <c r="R227" s="59"/>
      <c r="S227" s="59"/>
      <c r="T227" s="59"/>
    </row>
    <row r="228" spans="1:20" ht="7.5" customHeight="1" x14ac:dyDescent="0.25">
      <c r="A228" s="60"/>
      <c r="B228" s="61"/>
      <c r="C228" s="61"/>
      <c r="D228" s="62"/>
      <c r="E228" s="62"/>
      <c r="F228" s="62"/>
      <c r="G228" s="61"/>
      <c r="H228" s="61"/>
      <c r="I228" s="61"/>
      <c r="J228" s="61"/>
      <c r="K228" s="61"/>
      <c r="L228" s="61"/>
      <c r="M228" s="61"/>
      <c r="N228" s="61"/>
      <c r="O228" s="61"/>
      <c r="P228" s="61"/>
      <c r="Q228" s="61"/>
      <c r="R228" s="61"/>
      <c r="S228" s="61"/>
      <c r="T228" s="61"/>
    </row>
    <row r="229" spans="1:20" x14ac:dyDescent="0.2">
      <c r="A229" s="62"/>
      <c r="B229" s="61"/>
      <c r="C229" s="63" t="s">
        <v>122</v>
      </c>
      <c r="D229" s="63"/>
      <c r="E229" s="63"/>
      <c r="F229" s="63"/>
      <c r="G229" s="61"/>
      <c r="H229" s="63" t="s">
        <v>123</v>
      </c>
      <c r="I229" s="63"/>
      <c r="J229" s="63"/>
      <c r="K229" s="63"/>
      <c r="L229" s="59"/>
      <c r="M229" s="61"/>
      <c r="N229" s="63" t="s">
        <v>124</v>
      </c>
      <c r="O229" s="63"/>
      <c r="P229" s="63"/>
      <c r="Q229" s="63"/>
      <c r="R229" s="59"/>
      <c r="S229" s="61"/>
      <c r="T229" s="62"/>
    </row>
    <row r="230" spans="1:20" x14ac:dyDescent="0.2">
      <c r="A230" s="62" t="s">
        <v>41</v>
      </c>
      <c r="B230" s="61"/>
      <c r="C230" s="62" t="s">
        <v>32</v>
      </c>
      <c r="D230" s="62" t="s">
        <v>125</v>
      </c>
      <c r="E230" s="62" t="s">
        <v>33</v>
      </c>
      <c r="F230" s="62" t="s">
        <v>126</v>
      </c>
      <c r="G230" s="62"/>
      <c r="H230" s="62" t="s">
        <v>32</v>
      </c>
      <c r="I230" s="62" t="s">
        <v>125</v>
      </c>
      <c r="J230" s="62" t="s">
        <v>127</v>
      </c>
      <c r="K230" s="62" t="s">
        <v>33</v>
      </c>
      <c r="L230" s="62" t="s">
        <v>128</v>
      </c>
      <c r="M230" s="62"/>
      <c r="N230" s="62" t="s">
        <v>32</v>
      </c>
      <c r="O230" s="62" t="s">
        <v>125</v>
      </c>
      <c r="P230" s="62" t="s">
        <v>127</v>
      </c>
      <c r="Q230" s="62" t="s">
        <v>33</v>
      </c>
      <c r="R230" s="62" t="s">
        <v>128</v>
      </c>
      <c r="S230" s="61"/>
      <c r="T230" s="62" t="s">
        <v>41</v>
      </c>
    </row>
    <row r="231" spans="1:20" x14ac:dyDescent="0.2">
      <c r="A231" s="62">
        <v>1</v>
      </c>
      <c r="B231" s="61"/>
      <c r="C231" s="64">
        <v>0.99338478500551264</v>
      </c>
      <c r="D231" s="64">
        <v>0.98385518590998033</v>
      </c>
      <c r="E231" s="64">
        <v>1.0021052631578946</v>
      </c>
      <c r="F231" s="64">
        <v>1.0075187969924813</v>
      </c>
      <c r="G231" s="61"/>
      <c r="H231" s="64">
        <v>0.9851767388825543</v>
      </c>
      <c r="I231" s="64">
        <v>0.9833753148614609</v>
      </c>
      <c r="J231" s="64">
        <v>1.0083969465648857</v>
      </c>
      <c r="K231" s="64">
        <v>1.0190058479532162</v>
      </c>
      <c r="L231" s="64">
        <v>1.0064829821717991</v>
      </c>
      <c r="M231" s="61"/>
      <c r="N231" s="64">
        <v>0.95751295336787567</v>
      </c>
      <c r="O231" s="64">
        <v>0.98428290766208248</v>
      </c>
      <c r="P231" s="64">
        <v>1.0093167701863353</v>
      </c>
      <c r="Q231" s="64">
        <v>1.0193905817174516</v>
      </c>
      <c r="R231" s="64">
        <v>1</v>
      </c>
      <c r="S231" s="61"/>
      <c r="T231" s="62">
        <v>1</v>
      </c>
    </row>
    <row r="232" spans="1:20" x14ac:dyDescent="0.2">
      <c r="A232" s="62">
        <v>2</v>
      </c>
      <c r="B232" s="61"/>
      <c r="C232" s="64">
        <v>0.99448732083792724</v>
      </c>
      <c r="D232" s="64">
        <v>1.0264187866927592</v>
      </c>
      <c r="E232" s="64">
        <v>1.0589473684210524</v>
      </c>
      <c r="F232" s="64">
        <v>1.0344281757024141</v>
      </c>
      <c r="G232" s="61"/>
      <c r="H232" s="64">
        <v>0.98318129988597502</v>
      </c>
      <c r="I232" s="64">
        <v>1.0065491183879094</v>
      </c>
      <c r="J232" s="64">
        <v>1.0564885496183205</v>
      </c>
      <c r="K232" s="64">
        <v>1.0818713450292397</v>
      </c>
      <c r="L232" s="64">
        <v>1.0210696920583471</v>
      </c>
      <c r="M232" s="61"/>
      <c r="N232" s="64">
        <v>0.94438687392055276</v>
      </c>
      <c r="O232" s="64">
        <v>1.0314341846758348</v>
      </c>
      <c r="P232" s="64">
        <v>1.0737577639751552</v>
      </c>
      <c r="Q232" s="64">
        <v>1.2049861495844874</v>
      </c>
      <c r="R232" s="64">
        <v>1.0030120481927711</v>
      </c>
      <c r="S232" s="61"/>
      <c r="T232" s="62">
        <v>2</v>
      </c>
    </row>
    <row r="233" spans="1:20" x14ac:dyDescent="0.2">
      <c r="A233" s="62">
        <v>3</v>
      </c>
      <c r="B233" s="61"/>
      <c r="C233" s="64">
        <v>1.0108048511576626</v>
      </c>
      <c r="D233" s="64">
        <v>1.033757338551859</v>
      </c>
      <c r="E233" s="64">
        <v>1.1147368421052628</v>
      </c>
      <c r="F233" s="64">
        <v>1.0443213296398894</v>
      </c>
      <c r="G233" s="61"/>
      <c r="H233" s="64">
        <v>0.99458380843785643</v>
      </c>
      <c r="I233" s="64">
        <v>1.0090680100755669</v>
      </c>
      <c r="J233" s="64">
        <v>1.0587786259541985</v>
      </c>
      <c r="K233" s="64">
        <v>1.1301169590643274</v>
      </c>
      <c r="L233" s="64">
        <v>1.0275526742301462</v>
      </c>
      <c r="M233" s="61"/>
      <c r="N233" s="64">
        <v>0.95302245250431783</v>
      </c>
      <c r="O233" s="64">
        <v>1.0422396856581531</v>
      </c>
      <c r="P233" s="64">
        <v>1.0815217391304348</v>
      </c>
      <c r="Q233" s="64">
        <v>1.3933518005540166</v>
      </c>
      <c r="R233" s="64">
        <v>1.0030120481927711</v>
      </c>
      <c r="S233" s="61"/>
      <c r="T233" s="62">
        <v>3</v>
      </c>
    </row>
    <row r="234" spans="1:20" x14ac:dyDescent="0.2">
      <c r="A234" s="62">
        <v>4</v>
      </c>
      <c r="B234" s="61"/>
      <c r="C234" s="64">
        <v>1.0454244762954794</v>
      </c>
      <c r="D234" s="64">
        <v>1.043542074363992</v>
      </c>
      <c r="E234" s="64">
        <v>1.1873684210526312</v>
      </c>
      <c r="F234" s="64">
        <v>1.0518401266323705</v>
      </c>
      <c r="G234" s="61"/>
      <c r="H234" s="64">
        <v>1.0316419612314709</v>
      </c>
      <c r="I234" s="64">
        <v>1.0201511335012596</v>
      </c>
      <c r="J234" s="64">
        <v>1.0740458015267176</v>
      </c>
      <c r="K234" s="64">
        <v>1.2149122807017545</v>
      </c>
      <c r="L234" s="64">
        <v>1.0324149108589955</v>
      </c>
      <c r="M234" s="61"/>
      <c r="N234" s="64">
        <v>0.98169257340241811</v>
      </c>
      <c r="O234" s="64">
        <v>1.0540275049115913</v>
      </c>
      <c r="P234" s="64">
        <v>1.0970496894409938</v>
      </c>
      <c r="Q234" s="64">
        <v>1.5706371191135733</v>
      </c>
      <c r="R234" s="64">
        <v>1.0090361445783134</v>
      </c>
      <c r="S234" s="61"/>
      <c r="T234" s="62">
        <v>4</v>
      </c>
    </row>
    <row r="235" spans="1:20" x14ac:dyDescent="0.2">
      <c r="A235" s="62">
        <v>5</v>
      </c>
      <c r="B235" s="61"/>
      <c r="C235" s="64">
        <v>1.0868798235942665</v>
      </c>
      <c r="D235" s="64">
        <v>1.0562622309197651</v>
      </c>
      <c r="E235" s="64">
        <v>1.2515789473684207</v>
      </c>
      <c r="F235" s="64">
        <v>1.0565888405223585</v>
      </c>
      <c r="G235" s="61"/>
      <c r="H235" s="64">
        <v>1.071835803876853</v>
      </c>
      <c r="I235" s="64">
        <v>1.0347607052896726</v>
      </c>
      <c r="J235" s="64">
        <v>1.0938931297709924</v>
      </c>
      <c r="K235" s="64">
        <v>1.2953216374269005</v>
      </c>
      <c r="L235" s="64">
        <v>1.0453808752025937</v>
      </c>
      <c r="M235" s="61"/>
      <c r="N235" s="64">
        <v>1.0193436960276341</v>
      </c>
      <c r="O235" s="64">
        <v>1.0692534381139489</v>
      </c>
      <c r="P235" s="64">
        <v>1.1172360248447204</v>
      </c>
      <c r="Q235" s="64">
        <v>1.7091412742382273</v>
      </c>
      <c r="R235" s="64">
        <v>1.0240963855421688</v>
      </c>
      <c r="S235" s="61"/>
      <c r="T235" s="62">
        <v>5</v>
      </c>
    </row>
    <row r="236" spans="1:20" x14ac:dyDescent="0.2">
      <c r="A236" s="62">
        <v>6</v>
      </c>
      <c r="B236" s="61"/>
      <c r="C236" s="64">
        <v>1.129878721058434</v>
      </c>
      <c r="D236" s="64">
        <v>1.073385518590998</v>
      </c>
      <c r="E236" s="64">
        <v>1.3063157894736837</v>
      </c>
      <c r="F236" s="64">
        <v>1.0605461020973486</v>
      </c>
      <c r="G236" s="61"/>
      <c r="H236" s="64">
        <v>1.1160205245153934</v>
      </c>
      <c r="I236" s="64">
        <v>1.0528967254408061</v>
      </c>
      <c r="J236" s="64">
        <v>1.1183206106870232</v>
      </c>
      <c r="K236" s="64">
        <v>1.3611111111111112</v>
      </c>
      <c r="L236" s="64">
        <v>1.0567260940032419</v>
      </c>
      <c r="M236" s="61"/>
      <c r="N236" s="64">
        <v>1.0642487046632125</v>
      </c>
      <c r="O236" s="64">
        <v>1.0879174852652258</v>
      </c>
      <c r="P236" s="64">
        <v>1.1413043478260867</v>
      </c>
      <c r="Q236" s="64">
        <v>1.8227146814404436</v>
      </c>
      <c r="R236" s="64">
        <v>1.0421686746987953</v>
      </c>
      <c r="S236" s="61"/>
      <c r="T236" s="62">
        <v>6</v>
      </c>
    </row>
    <row r="237" spans="1:20" x14ac:dyDescent="0.2">
      <c r="A237" s="62">
        <v>7</v>
      </c>
      <c r="B237" s="61"/>
      <c r="C237" s="64">
        <v>1.1572216097023147</v>
      </c>
      <c r="D237" s="64">
        <v>1.0934442270058709</v>
      </c>
      <c r="E237" s="64">
        <v>1.3452631578947361</v>
      </c>
      <c r="F237" s="64">
        <v>1.0648990898298376</v>
      </c>
      <c r="G237" s="61"/>
      <c r="H237" s="64">
        <v>1.1436716077537059</v>
      </c>
      <c r="I237" s="64">
        <v>1.0765743073047862</v>
      </c>
      <c r="J237" s="64">
        <v>1.1442748091603054</v>
      </c>
      <c r="K237" s="64">
        <v>1.4093567251461987</v>
      </c>
      <c r="L237" s="64">
        <v>1.0599675850891415</v>
      </c>
      <c r="M237" s="61"/>
      <c r="N237" s="64">
        <v>1.0922279792746117</v>
      </c>
      <c r="O237" s="64">
        <v>1.1134577603143418</v>
      </c>
      <c r="P237" s="64">
        <v>1.1684782608695652</v>
      </c>
      <c r="Q237" s="64">
        <v>1.9058171745152357</v>
      </c>
      <c r="R237" s="64">
        <v>1.0572289156626506</v>
      </c>
      <c r="S237" s="61"/>
      <c r="T237" s="62">
        <v>7</v>
      </c>
    </row>
    <row r="238" spans="1:20" x14ac:dyDescent="0.2">
      <c r="A238" s="62">
        <v>8</v>
      </c>
      <c r="B238" s="61"/>
      <c r="C238" s="64">
        <v>1.1779492833517085</v>
      </c>
      <c r="D238" s="64">
        <v>1.114481409001957</v>
      </c>
      <c r="E238" s="64">
        <v>1.3778947368421044</v>
      </c>
      <c r="F238" s="64">
        <v>1.0712307083498218</v>
      </c>
      <c r="G238" s="61"/>
      <c r="H238" s="64">
        <v>1.1647662485746866</v>
      </c>
      <c r="I238" s="64">
        <v>1.0992443324937031</v>
      </c>
      <c r="J238" s="64">
        <v>1.1717557251908399</v>
      </c>
      <c r="K238" s="64">
        <v>1.4473684210526314</v>
      </c>
      <c r="L238" s="64">
        <v>1.0632090761750408</v>
      </c>
      <c r="M238" s="61"/>
      <c r="N238" s="64">
        <v>1.1129533678756478</v>
      </c>
      <c r="O238" s="64">
        <v>1.1360510805500981</v>
      </c>
      <c r="P238" s="64">
        <v>1.1964285714285714</v>
      </c>
      <c r="Q238" s="64">
        <v>1.9750692520775626</v>
      </c>
      <c r="R238" s="64">
        <v>1.0632530120481927</v>
      </c>
      <c r="S238" s="61"/>
      <c r="T238" s="62">
        <v>8</v>
      </c>
    </row>
    <row r="239" spans="1:20" x14ac:dyDescent="0.2">
      <c r="A239" s="62">
        <v>9</v>
      </c>
      <c r="B239" s="61"/>
      <c r="C239" s="64">
        <v>1.1914002205071661</v>
      </c>
      <c r="D239" s="64">
        <v>1.1360078277886498</v>
      </c>
      <c r="E239" s="64">
        <v>1.4063157894736833</v>
      </c>
      <c r="F239" s="64">
        <v>1.0771666007123071</v>
      </c>
      <c r="G239" s="61"/>
      <c r="H239" s="64">
        <v>1.1767388825541623</v>
      </c>
      <c r="I239" s="64">
        <v>1.12191435768262</v>
      </c>
      <c r="J239" s="64">
        <v>1.2000000000000004</v>
      </c>
      <c r="K239" s="64">
        <v>1.4795321637426897</v>
      </c>
      <c r="L239" s="64">
        <v>1.0632090761750408</v>
      </c>
      <c r="M239" s="61"/>
      <c r="N239" s="64">
        <v>1.1246977547495685</v>
      </c>
      <c r="O239" s="64">
        <v>1.1581532416502944</v>
      </c>
      <c r="P239" s="64">
        <v>1.2251552795031055</v>
      </c>
      <c r="Q239" s="64">
        <v>2.0360110803324103</v>
      </c>
      <c r="R239" s="64">
        <v>1.066265060240964</v>
      </c>
      <c r="S239" s="61"/>
      <c r="T239" s="62">
        <v>9</v>
      </c>
    </row>
    <row r="240" spans="1:20" x14ac:dyDescent="0.2">
      <c r="A240" s="62">
        <v>10</v>
      </c>
      <c r="B240" s="61"/>
      <c r="C240" s="64">
        <v>1.211025358324145</v>
      </c>
      <c r="D240" s="64">
        <v>1.1580234833659493</v>
      </c>
      <c r="E240" s="64">
        <v>1.4305263157894728</v>
      </c>
      <c r="F240" s="64">
        <v>1.0831024930747923</v>
      </c>
      <c r="G240" s="61"/>
      <c r="H240" s="64">
        <v>1.1952679589509696</v>
      </c>
      <c r="I240" s="64">
        <v>1.1450881612090684</v>
      </c>
      <c r="J240" s="64">
        <v>1.2282442748091607</v>
      </c>
      <c r="K240" s="64">
        <v>1.5087719298245612</v>
      </c>
      <c r="L240" s="64">
        <v>1.0648298217179908</v>
      </c>
      <c r="M240" s="61"/>
      <c r="N240" s="64">
        <v>1.1405872193436963</v>
      </c>
      <c r="O240" s="64">
        <v>1.1807465618860509</v>
      </c>
      <c r="P240" s="64">
        <v>1.2538819875776397</v>
      </c>
      <c r="Q240" s="64">
        <v>2.0941828254847645</v>
      </c>
      <c r="R240" s="64">
        <v>1.0722891566265063</v>
      </c>
      <c r="S240" s="61"/>
      <c r="T240" s="62">
        <v>10</v>
      </c>
    </row>
    <row r="241" spans="1:20" x14ac:dyDescent="0.2">
      <c r="A241" s="62">
        <v>11</v>
      </c>
      <c r="B241" s="61"/>
      <c r="C241" s="64">
        <v>1.2231532524807052</v>
      </c>
      <c r="D241" s="64">
        <v>1.1819960861056753</v>
      </c>
      <c r="E241" s="64">
        <v>1.4410526315789465</v>
      </c>
      <c r="F241" s="64">
        <v>1.0906212900672734</v>
      </c>
      <c r="G241" s="61"/>
      <c r="H241" s="64">
        <v>1.2043899657924748</v>
      </c>
      <c r="I241" s="64">
        <v>1.169773299748111</v>
      </c>
      <c r="J241" s="64">
        <v>1.2587786259541986</v>
      </c>
      <c r="K241" s="64">
        <v>1.5160818713450288</v>
      </c>
      <c r="L241" s="64">
        <v>1.0680713128038901</v>
      </c>
      <c r="M241" s="61"/>
      <c r="N241" s="64">
        <v>1.150259067357513</v>
      </c>
      <c r="O241" s="64">
        <v>1.2048133595284869</v>
      </c>
      <c r="P241" s="64">
        <v>1.2849378881987579</v>
      </c>
      <c r="Q241" s="64">
        <v>2.1024930747922439</v>
      </c>
      <c r="R241" s="64">
        <v>1.0783132530120483</v>
      </c>
      <c r="S241" s="61"/>
      <c r="T241" s="62">
        <v>11</v>
      </c>
    </row>
    <row r="242" spans="1:20" x14ac:dyDescent="0.2">
      <c r="A242" s="62">
        <v>12</v>
      </c>
      <c r="B242" s="61"/>
      <c r="C242" s="64">
        <v>1.2286659316427782</v>
      </c>
      <c r="D242" s="64">
        <v>1.2054794520547949</v>
      </c>
      <c r="E242" s="64">
        <v>1.4294736842105256</v>
      </c>
      <c r="F242" s="64">
        <v>1.0969529085872576</v>
      </c>
      <c r="G242" s="61"/>
      <c r="H242" s="64">
        <v>1.2092360319270246</v>
      </c>
      <c r="I242" s="64">
        <v>1.1944584382871539</v>
      </c>
      <c r="J242" s="64">
        <v>1.2900763358778626</v>
      </c>
      <c r="K242" s="64">
        <v>1.4941520467836256</v>
      </c>
      <c r="L242" s="64">
        <v>1.0696920583468399</v>
      </c>
      <c r="M242" s="61"/>
      <c r="N242" s="64">
        <v>1.1533678756476686</v>
      </c>
      <c r="O242" s="64">
        <v>1.2298624754420429</v>
      </c>
      <c r="P242" s="64">
        <v>1.316770186335404</v>
      </c>
      <c r="Q242" s="64">
        <v>2.060941828254848</v>
      </c>
      <c r="R242" s="64">
        <v>1.0843373493975905</v>
      </c>
      <c r="S242" s="61"/>
      <c r="T242" s="62">
        <v>12</v>
      </c>
    </row>
    <row r="243" spans="1:20" x14ac:dyDescent="0.2">
      <c r="A243" s="62">
        <v>13</v>
      </c>
      <c r="B243" s="61"/>
      <c r="C243" s="64">
        <v>1.2379272326350605</v>
      </c>
      <c r="D243" s="64">
        <v>1.232387475538161</v>
      </c>
      <c r="E243" s="64">
        <v>1.410526315789473</v>
      </c>
      <c r="F243" s="64">
        <v>1.1024930747922437</v>
      </c>
      <c r="G243" s="61"/>
      <c r="H243" s="64">
        <v>1.2220638540478912</v>
      </c>
      <c r="I243" s="64">
        <v>1.2211586901763227</v>
      </c>
      <c r="J243" s="64">
        <v>1.3213740458015268</v>
      </c>
      <c r="K243" s="64">
        <v>1.4605263157894735</v>
      </c>
      <c r="L243" s="64">
        <v>1.0729335494327394</v>
      </c>
      <c r="M243" s="61"/>
      <c r="N243" s="64">
        <v>1.159240069084629</v>
      </c>
      <c r="O243" s="64">
        <v>1.254911591355599</v>
      </c>
      <c r="P243" s="64">
        <v>1.3486024844720499</v>
      </c>
      <c r="Q243" s="64">
        <v>2.0027700831024933</v>
      </c>
      <c r="R243" s="64">
        <v>1.0933734939759037</v>
      </c>
      <c r="S243" s="61"/>
      <c r="T243" s="62">
        <v>13</v>
      </c>
    </row>
    <row r="244" spans="1:20" x14ac:dyDescent="0.2">
      <c r="A244" s="62">
        <v>14</v>
      </c>
      <c r="B244" s="61"/>
      <c r="C244" s="64">
        <v>1.2388092613009922</v>
      </c>
      <c r="D244" s="64">
        <v>1.2592954990215268</v>
      </c>
      <c r="E244" s="64">
        <v>1.3968421052631572</v>
      </c>
      <c r="F244" s="64">
        <v>1.1088246933122279</v>
      </c>
      <c r="G244" s="61"/>
      <c r="H244" s="64">
        <v>1.2214937286202971</v>
      </c>
      <c r="I244" s="64">
        <v>1.2478589420654915</v>
      </c>
      <c r="J244" s="64">
        <v>1.353435114503817</v>
      </c>
      <c r="K244" s="64">
        <v>1.4342105263157894</v>
      </c>
      <c r="L244" s="64">
        <v>1.0761750405186388</v>
      </c>
      <c r="M244" s="61"/>
      <c r="N244" s="64">
        <v>1.1557858376511227</v>
      </c>
      <c r="O244" s="64">
        <v>1.279960707269155</v>
      </c>
      <c r="P244" s="64">
        <v>1.3812111801242235</v>
      </c>
      <c r="Q244" s="64">
        <v>1.9501385041551249</v>
      </c>
      <c r="R244" s="64">
        <v>1.1054216867469882</v>
      </c>
      <c r="S244" s="61"/>
      <c r="T244" s="62">
        <v>14</v>
      </c>
    </row>
    <row r="245" spans="1:20" x14ac:dyDescent="0.2">
      <c r="A245" s="62">
        <v>15</v>
      </c>
      <c r="B245" s="61"/>
      <c r="C245" s="64">
        <v>1.2412348401323041</v>
      </c>
      <c r="D245" s="64">
        <v>1.2871819960861062</v>
      </c>
      <c r="E245" s="64">
        <v>1.3863157894736835</v>
      </c>
      <c r="F245" s="64">
        <v>1.115552037989711</v>
      </c>
      <c r="G245" s="61"/>
      <c r="H245" s="64">
        <v>1.2212086659065</v>
      </c>
      <c r="I245" s="64">
        <v>1.2750629722921918</v>
      </c>
      <c r="J245" s="64">
        <v>1.387786259541985</v>
      </c>
      <c r="K245" s="64">
        <v>1.4122807017543859</v>
      </c>
      <c r="L245" s="64">
        <v>1.0810372771474881</v>
      </c>
      <c r="M245" s="61"/>
      <c r="N245" s="64">
        <v>1.153713298791019</v>
      </c>
      <c r="O245" s="64">
        <v>1.3059921414538309</v>
      </c>
      <c r="P245" s="64">
        <v>1.4161490683229814</v>
      </c>
      <c r="Q245" s="64">
        <v>1.9085872576177287</v>
      </c>
      <c r="R245" s="64">
        <v>1.1114457831325304</v>
      </c>
      <c r="S245" s="61"/>
      <c r="T245" s="62">
        <v>15</v>
      </c>
    </row>
    <row r="246" spans="1:20" x14ac:dyDescent="0.2">
      <c r="A246" s="62">
        <v>16</v>
      </c>
      <c r="B246" s="61"/>
      <c r="C246" s="64">
        <v>1.2403528114663724</v>
      </c>
      <c r="D246" s="64">
        <v>1.3155577299412922</v>
      </c>
      <c r="E246" s="64">
        <v>1.3884210526315783</v>
      </c>
      <c r="F246" s="64">
        <v>1.1234665611396912</v>
      </c>
      <c r="G246" s="61"/>
      <c r="H246" s="64">
        <v>1.214937286202965</v>
      </c>
      <c r="I246" s="64">
        <v>1.3032745591939552</v>
      </c>
      <c r="J246" s="64">
        <v>1.4244274809160309</v>
      </c>
      <c r="K246" s="64">
        <v>1.4078947368421053</v>
      </c>
      <c r="L246" s="64">
        <v>1.0858995137763374</v>
      </c>
      <c r="M246" s="61"/>
      <c r="N246" s="64">
        <v>1.1506044905008637</v>
      </c>
      <c r="O246" s="64">
        <v>1.3330058939096268</v>
      </c>
      <c r="P246" s="64">
        <v>1.4534161490683231</v>
      </c>
      <c r="Q246" s="64">
        <v>1.9002770083102498</v>
      </c>
      <c r="R246" s="64">
        <v>1.1234939759036149</v>
      </c>
      <c r="S246" s="61"/>
      <c r="T246" s="62">
        <v>16</v>
      </c>
    </row>
    <row r="247" spans="1:20" x14ac:dyDescent="0.2">
      <c r="A247" s="62">
        <v>17</v>
      </c>
      <c r="B247" s="61"/>
      <c r="C247" s="64">
        <v>1.2456449834619623</v>
      </c>
      <c r="D247" s="64">
        <v>1.3434442270058715</v>
      </c>
      <c r="E247" s="64">
        <v>1.4010526315789469</v>
      </c>
      <c r="F247" s="64">
        <v>1.1337554412346655</v>
      </c>
      <c r="G247" s="61"/>
      <c r="H247" s="64">
        <v>1.2183580387685295</v>
      </c>
      <c r="I247" s="64">
        <v>1.33198992443325</v>
      </c>
      <c r="J247" s="64">
        <v>1.4610687022900766</v>
      </c>
      <c r="K247" s="64">
        <v>1.4166666666666663</v>
      </c>
      <c r="L247" s="64">
        <v>1.0923824959481365</v>
      </c>
      <c r="M247" s="61"/>
      <c r="N247" s="64">
        <v>1.1561312607944731</v>
      </c>
      <c r="O247" s="64">
        <v>1.3605108055009825</v>
      </c>
      <c r="P247" s="64">
        <v>1.490683229813665</v>
      </c>
      <c r="Q247" s="64">
        <v>1.9141274238227153</v>
      </c>
      <c r="R247" s="64">
        <v>1.1295180722891571</v>
      </c>
      <c r="S247" s="61"/>
      <c r="T247" s="62">
        <v>17</v>
      </c>
    </row>
    <row r="248" spans="1:20" x14ac:dyDescent="0.2">
      <c r="A248" s="62">
        <v>18</v>
      </c>
      <c r="B248" s="61"/>
      <c r="C248" s="64">
        <v>1.2524807056229326</v>
      </c>
      <c r="D248" s="64">
        <v>1.3732876712328774</v>
      </c>
      <c r="E248" s="64">
        <v>1.4178947368421049</v>
      </c>
      <c r="F248" s="64">
        <v>1.1428571428571428</v>
      </c>
      <c r="G248" s="61"/>
      <c r="H248" s="64">
        <v>1.2249144811858612</v>
      </c>
      <c r="I248" s="64">
        <v>1.3632241813602022</v>
      </c>
      <c r="J248" s="64">
        <v>1.4961832061068703</v>
      </c>
      <c r="K248" s="64">
        <v>1.4298245614035083</v>
      </c>
      <c r="L248" s="64">
        <v>1.0972447325769856</v>
      </c>
      <c r="M248" s="61"/>
      <c r="N248" s="64">
        <v>1.1637305699481866</v>
      </c>
      <c r="O248" s="64">
        <v>1.3914538310412574</v>
      </c>
      <c r="P248" s="64">
        <v>1.5263975155279506</v>
      </c>
      <c r="Q248" s="64">
        <v>1.9390581717451529</v>
      </c>
      <c r="R248" s="64">
        <v>1.1385542168674705</v>
      </c>
      <c r="S248" s="61"/>
      <c r="T248" s="62">
        <v>18</v>
      </c>
    </row>
    <row r="249" spans="1:20" x14ac:dyDescent="0.2">
      <c r="A249" s="62">
        <v>19</v>
      </c>
      <c r="B249" s="61"/>
      <c r="C249" s="64">
        <v>1.2597574421168687</v>
      </c>
      <c r="D249" s="64">
        <v>1.4036203522504898</v>
      </c>
      <c r="E249" s="64">
        <v>1.433684210526315</v>
      </c>
      <c r="F249" s="64">
        <v>1.1511673921646222</v>
      </c>
      <c r="G249" s="61"/>
      <c r="H249" s="64">
        <v>1.2314709236031933</v>
      </c>
      <c r="I249" s="64">
        <v>1.394962216624686</v>
      </c>
      <c r="J249" s="64">
        <v>1.5351145038167937</v>
      </c>
      <c r="K249" s="64">
        <v>1.4429824561403504</v>
      </c>
      <c r="L249" s="64">
        <v>1.1004862236628852</v>
      </c>
      <c r="M249" s="61"/>
      <c r="N249" s="64">
        <v>1.1702936096718481</v>
      </c>
      <c r="O249" s="64">
        <v>1.4228880157170924</v>
      </c>
      <c r="P249" s="64">
        <v>1.5659937888198763</v>
      </c>
      <c r="Q249" s="64">
        <v>1.9639889196675906</v>
      </c>
      <c r="R249" s="64">
        <v>1.1445783132530127</v>
      </c>
      <c r="S249" s="61"/>
      <c r="T249" s="62">
        <v>19</v>
      </c>
    </row>
    <row r="250" spans="1:20" x14ac:dyDescent="0.2">
      <c r="A250" s="62">
        <v>20</v>
      </c>
      <c r="B250" s="61"/>
      <c r="C250" s="64">
        <v>1.2654906284454244</v>
      </c>
      <c r="D250" s="64">
        <v>1.435420743639922</v>
      </c>
      <c r="E250" s="64">
        <v>1.4578947368421045</v>
      </c>
      <c r="F250" s="64">
        <v>1.1602690937870996</v>
      </c>
      <c r="G250" s="61"/>
      <c r="H250" s="64">
        <v>1.2368871151653369</v>
      </c>
      <c r="I250" s="64">
        <v>1.4277078085642325</v>
      </c>
      <c r="J250" s="64">
        <v>1.5748091603053433</v>
      </c>
      <c r="K250" s="64">
        <v>1.4649122807017538</v>
      </c>
      <c r="L250" s="64">
        <v>1.1037277147487847</v>
      </c>
      <c r="M250" s="61"/>
      <c r="N250" s="64">
        <v>1.1765112262521591</v>
      </c>
      <c r="O250" s="64">
        <v>1.4548133595284873</v>
      </c>
      <c r="P250" s="64">
        <v>1.6063664596273297</v>
      </c>
      <c r="Q250" s="64">
        <v>2.0055401662049865</v>
      </c>
      <c r="R250" s="64">
        <v>1.150602409638555</v>
      </c>
      <c r="S250" s="61"/>
      <c r="T250" s="62">
        <v>20</v>
      </c>
    </row>
    <row r="251" spans="1:20" x14ac:dyDescent="0.2">
      <c r="A251" s="62">
        <v>21</v>
      </c>
      <c r="B251" s="61"/>
      <c r="C251" s="64">
        <v>1.2696802646085996</v>
      </c>
      <c r="D251" s="64">
        <v>1.4672211350293543</v>
      </c>
      <c r="E251" s="64">
        <v>1.4778947368421045</v>
      </c>
      <c r="F251" s="64">
        <v>1.1689750692520777</v>
      </c>
      <c r="G251" s="61"/>
      <c r="H251" s="64">
        <v>1.2405929304446985</v>
      </c>
      <c r="I251" s="64">
        <v>1.460453400503779</v>
      </c>
      <c r="J251" s="64">
        <v>1.615267175572519</v>
      </c>
      <c r="K251" s="64">
        <v>1.4853801169590639</v>
      </c>
      <c r="L251" s="64">
        <v>1.1069692058346843</v>
      </c>
      <c r="M251" s="61"/>
      <c r="N251" s="64">
        <v>1.1816925734024182</v>
      </c>
      <c r="O251" s="64">
        <v>1.4872298624754421</v>
      </c>
      <c r="P251" s="64">
        <v>1.6475155279503111</v>
      </c>
      <c r="Q251" s="64">
        <v>2.0387811634349036</v>
      </c>
      <c r="R251" s="64">
        <v>1.156626506024097</v>
      </c>
      <c r="S251" s="61"/>
      <c r="T251" s="62">
        <v>21</v>
      </c>
    </row>
    <row r="252" spans="1:20" x14ac:dyDescent="0.2">
      <c r="A252" s="62">
        <v>22</v>
      </c>
      <c r="B252" s="61"/>
      <c r="C252" s="64">
        <v>1.2758544652701211</v>
      </c>
      <c r="D252" s="64">
        <v>1.5000000000000002</v>
      </c>
      <c r="E252" s="64">
        <v>1.5126315789473674</v>
      </c>
      <c r="F252" s="64">
        <v>1.1772853185595569</v>
      </c>
      <c r="G252" s="61"/>
      <c r="H252" s="64">
        <v>1.2468643101482333</v>
      </c>
      <c r="I252" s="64">
        <v>1.4947103274559204</v>
      </c>
      <c r="J252" s="64">
        <v>1.6557251908396946</v>
      </c>
      <c r="K252" s="64">
        <v>1.521929824561403</v>
      </c>
      <c r="L252" s="64">
        <v>1.1134521880064834</v>
      </c>
      <c r="M252" s="61"/>
      <c r="N252" s="64">
        <v>1.1903281519861835</v>
      </c>
      <c r="O252" s="64">
        <v>1.5201375245579567</v>
      </c>
      <c r="P252" s="64">
        <v>1.6886645962732925</v>
      </c>
      <c r="Q252" s="64">
        <v>2.1080332409972304</v>
      </c>
      <c r="R252" s="64">
        <v>1.1686746987951815</v>
      </c>
      <c r="S252" s="61"/>
      <c r="T252" s="62">
        <v>22</v>
      </c>
    </row>
    <row r="253" spans="1:20" x14ac:dyDescent="0.2">
      <c r="A253" s="62">
        <v>23</v>
      </c>
      <c r="B253" s="61"/>
      <c r="C253" s="64">
        <v>1.2912899669239251</v>
      </c>
      <c r="D253" s="64">
        <v>1.5362035225048927</v>
      </c>
      <c r="E253" s="64">
        <v>1.5578947368421043</v>
      </c>
      <c r="F253" s="64">
        <v>1.185595567867036</v>
      </c>
      <c r="G253" s="61"/>
      <c r="H253" s="64">
        <v>1.2662485746864318</v>
      </c>
      <c r="I253" s="64">
        <v>1.5319899244332504</v>
      </c>
      <c r="J253" s="64">
        <v>1.698473282442748</v>
      </c>
      <c r="K253" s="64">
        <v>1.5745614035087714</v>
      </c>
      <c r="L253" s="64">
        <v>1.1199351701782823</v>
      </c>
      <c r="M253" s="61"/>
      <c r="N253" s="64">
        <v>1.210017271157168</v>
      </c>
      <c r="O253" s="64">
        <v>1.5569744597249509</v>
      </c>
      <c r="P253" s="64">
        <v>1.7321428571428574</v>
      </c>
      <c r="Q253" s="64">
        <v>2.202216066481995</v>
      </c>
      <c r="R253" s="64">
        <v>1.1807228915662658</v>
      </c>
      <c r="S253" s="61"/>
      <c r="T253" s="62">
        <v>23</v>
      </c>
    </row>
    <row r="254" spans="1:20" x14ac:dyDescent="0.2">
      <c r="A254" s="62">
        <v>24</v>
      </c>
      <c r="B254" s="61"/>
      <c r="C254" s="64">
        <v>1.3115766262403528</v>
      </c>
      <c r="D254" s="64">
        <v>1.5719178082191785</v>
      </c>
      <c r="E254" s="64">
        <v>1.6115789473684199</v>
      </c>
      <c r="F254" s="64">
        <v>1.1962801741195093</v>
      </c>
      <c r="G254" s="61"/>
      <c r="H254" s="64">
        <v>1.2907639680729768</v>
      </c>
      <c r="I254" s="64">
        <v>1.5687657430730491</v>
      </c>
      <c r="J254" s="64">
        <v>1.7641221374045799</v>
      </c>
      <c r="K254" s="64">
        <v>1.6374269005847948</v>
      </c>
      <c r="L254" s="64">
        <v>1.1247974068071316</v>
      </c>
      <c r="M254" s="61"/>
      <c r="N254" s="64">
        <v>1.2366148531951644</v>
      </c>
      <c r="O254" s="64">
        <v>1.5933202357563849</v>
      </c>
      <c r="P254" s="64">
        <v>1.7989130434782614</v>
      </c>
      <c r="Q254" s="64">
        <v>2.3157894736842111</v>
      </c>
      <c r="R254" s="64">
        <v>1.19277108433735</v>
      </c>
      <c r="S254" s="61"/>
      <c r="T254" s="62">
        <v>24</v>
      </c>
    </row>
    <row r="255" spans="1:20" x14ac:dyDescent="0.2">
      <c r="A255" s="62">
        <v>25</v>
      </c>
      <c r="B255" s="61"/>
      <c r="C255" s="64">
        <v>1.3263506063947077</v>
      </c>
      <c r="D255" s="64">
        <v>1.6061643835616439</v>
      </c>
      <c r="E255" s="64">
        <v>1.6599999999999988</v>
      </c>
      <c r="F255" s="64">
        <v>1.2085476850019785</v>
      </c>
      <c r="G255" s="61"/>
      <c r="H255" s="64">
        <v>1.3084378563283927</v>
      </c>
      <c r="I255" s="64">
        <v>1.6040302267002531</v>
      </c>
      <c r="J255" s="64">
        <v>1.8480916030534351</v>
      </c>
      <c r="K255" s="64">
        <v>1.6929824561403506</v>
      </c>
      <c r="L255" s="64">
        <v>1.1312803889789307</v>
      </c>
      <c r="M255" s="61"/>
      <c r="N255" s="64">
        <v>1.257340241796201</v>
      </c>
      <c r="O255" s="64">
        <v>1.6277013752455796</v>
      </c>
      <c r="P255" s="64">
        <v>1.8843167701863359</v>
      </c>
      <c r="Q255" s="64">
        <v>2.4182825484764554</v>
      </c>
      <c r="R255" s="64">
        <v>1.2048192771084345</v>
      </c>
      <c r="S255" s="61"/>
      <c r="T255" s="62">
        <v>25</v>
      </c>
    </row>
    <row r="256" spans="1:20" x14ac:dyDescent="0.2">
      <c r="A256" s="62">
        <v>26</v>
      </c>
      <c r="B256" s="61"/>
      <c r="C256" s="64">
        <v>1.3353914002205072</v>
      </c>
      <c r="D256" s="64">
        <v>1.6399217221135032</v>
      </c>
      <c r="E256" s="64">
        <v>1.6831578947368409</v>
      </c>
      <c r="F256" s="64">
        <v>1.2176493866244558</v>
      </c>
      <c r="G256" s="61"/>
      <c r="H256" s="64">
        <v>1.318129988597492</v>
      </c>
      <c r="I256" s="64">
        <v>1.6392947103274573</v>
      </c>
      <c r="J256" s="64">
        <v>1.9106870229007635</v>
      </c>
      <c r="K256" s="64">
        <v>1.7222222222222219</v>
      </c>
      <c r="L256" s="64">
        <v>1.1361426256077798</v>
      </c>
      <c r="M256" s="61"/>
      <c r="N256" s="64">
        <v>1.2687392055267708</v>
      </c>
      <c r="O256" s="64">
        <v>1.6620825147347742</v>
      </c>
      <c r="P256" s="64">
        <v>1.9479813664596277</v>
      </c>
      <c r="Q256" s="64">
        <v>2.4736842105263168</v>
      </c>
      <c r="R256" s="64">
        <v>1.2138554216867479</v>
      </c>
      <c r="S256" s="61"/>
      <c r="T256" s="62">
        <v>26</v>
      </c>
    </row>
    <row r="257" spans="1:20" x14ac:dyDescent="0.2">
      <c r="A257" s="62">
        <v>27</v>
      </c>
      <c r="B257" s="61"/>
      <c r="C257" s="64">
        <v>1.3431091510474087</v>
      </c>
      <c r="D257" s="64">
        <v>1.6741682974559688</v>
      </c>
      <c r="E257" s="64">
        <v>1.6989473684210514</v>
      </c>
      <c r="F257" s="64">
        <v>1.2259596359319351</v>
      </c>
      <c r="G257" s="61"/>
      <c r="H257" s="64">
        <v>1.325541619156215</v>
      </c>
      <c r="I257" s="64">
        <v>1.6745591939546616</v>
      </c>
      <c r="J257" s="64">
        <v>1.9641221374045803</v>
      </c>
      <c r="K257" s="64">
        <v>1.7441520467836253</v>
      </c>
      <c r="L257" s="64">
        <v>1.1410048622366291</v>
      </c>
      <c r="M257" s="61"/>
      <c r="N257" s="64">
        <v>1.2777202072538865</v>
      </c>
      <c r="O257" s="64">
        <v>1.6969548133595285</v>
      </c>
      <c r="P257" s="64">
        <v>2.002329192546584</v>
      </c>
      <c r="Q257" s="64">
        <v>2.5152354570637128</v>
      </c>
      <c r="R257" s="64">
        <v>1.2228915662650608</v>
      </c>
      <c r="S257" s="61"/>
      <c r="T257" s="62">
        <v>27</v>
      </c>
    </row>
    <row r="258" spans="1:20" x14ac:dyDescent="0.2">
      <c r="A258" s="62">
        <v>28</v>
      </c>
      <c r="B258" s="61"/>
      <c r="C258" s="64">
        <v>1.3510474090407936</v>
      </c>
      <c r="D258" s="64">
        <v>1.7098825831702549</v>
      </c>
      <c r="E258" s="64">
        <v>1.7157894736842094</v>
      </c>
      <c r="F258" s="64">
        <v>1.2342698852394143</v>
      </c>
      <c r="G258" s="61"/>
      <c r="H258" s="64">
        <v>1.3329532497149379</v>
      </c>
      <c r="I258" s="64">
        <v>1.71133501259446</v>
      </c>
      <c r="J258" s="64">
        <v>2.0198473282442748</v>
      </c>
      <c r="K258" s="64">
        <v>1.7675438596491224</v>
      </c>
      <c r="L258" s="64">
        <v>1.147487844408428</v>
      </c>
      <c r="M258" s="61"/>
      <c r="N258" s="64">
        <v>1.2867012089810022</v>
      </c>
      <c r="O258" s="64">
        <v>1.7328094302554029</v>
      </c>
      <c r="P258" s="64">
        <v>2.0590062111801246</v>
      </c>
      <c r="Q258" s="64">
        <v>2.559556786703602</v>
      </c>
      <c r="R258" s="64">
        <v>1.2349397590361451</v>
      </c>
      <c r="S258" s="61"/>
      <c r="T258" s="62">
        <v>28</v>
      </c>
    </row>
    <row r="259" spans="1:20" x14ac:dyDescent="0.2">
      <c r="A259" s="62">
        <v>29</v>
      </c>
      <c r="B259" s="61"/>
      <c r="C259" s="64">
        <v>1.3587651598676953</v>
      </c>
      <c r="D259" s="64">
        <v>1.746575342465754</v>
      </c>
      <c r="E259" s="64">
        <v>1.7326315789473672</v>
      </c>
      <c r="F259" s="64">
        <v>1.2425801345468934</v>
      </c>
      <c r="G259" s="61"/>
      <c r="H259" s="64">
        <v>1.3406499429874579</v>
      </c>
      <c r="I259" s="64">
        <v>1.7491183879093215</v>
      </c>
      <c r="J259" s="64">
        <v>2.0763358778625953</v>
      </c>
      <c r="K259" s="64">
        <v>1.7909356725146193</v>
      </c>
      <c r="L259" s="64">
        <v>1.1523500810372773</v>
      </c>
      <c r="M259" s="61"/>
      <c r="N259" s="64">
        <v>1.2956822107081178</v>
      </c>
      <c r="O259" s="64">
        <v>1.7691552062868372</v>
      </c>
      <c r="P259" s="64">
        <v>2.1164596273291933</v>
      </c>
      <c r="Q259" s="64">
        <v>2.6038781163434912</v>
      </c>
      <c r="R259" s="64">
        <v>1.2439759036144584</v>
      </c>
      <c r="S259" s="61"/>
      <c r="T259" s="62">
        <v>29</v>
      </c>
    </row>
    <row r="260" spans="1:20" x14ac:dyDescent="0.2">
      <c r="A260" s="62">
        <v>30</v>
      </c>
      <c r="B260" s="61"/>
      <c r="C260" s="64">
        <v>1.36670341786108</v>
      </c>
      <c r="D260" s="64">
        <v>1.7842465753424661</v>
      </c>
      <c r="E260" s="64">
        <v>1.7494736842105252</v>
      </c>
      <c r="F260" s="64">
        <v>1.2508903838543728</v>
      </c>
      <c r="G260" s="61"/>
      <c r="H260" s="64">
        <v>1.3483466362599776</v>
      </c>
      <c r="I260" s="64">
        <v>1.787909319899246</v>
      </c>
      <c r="J260" s="64">
        <v>2.1351145038167938</v>
      </c>
      <c r="K260" s="64">
        <v>1.8143274853801161</v>
      </c>
      <c r="L260" s="64">
        <v>1.1588330632090764</v>
      </c>
      <c r="M260" s="61"/>
      <c r="N260" s="64">
        <v>1.3046632124352335</v>
      </c>
      <c r="O260" s="64">
        <v>1.8069744597249511</v>
      </c>
      <c r="P260" s="64">
        <v>2.1762422360248457</v>
      </c>
      <c r="Q260" s="64">
        <v>2.6481994459833804</v>
      </c>
      <c r="R260" s="64">
        <v>1.2530120481927718</v>
      </c>
      <c r="S260" s="61"/>
      <c r="T260" s="62">
        <v>30</v>
      </c>
    </row>
    <row r="261" spans="1:20" x14ac:dyDescent="0.2">
      <c r="A261" s="62"/>
      <c r="B261" s="61"/>
      <c r="C261" s="65"/>
      <c r="D261" s="65"/>
      <c r="E261" s="65"/>
      <c r="F261" s="65"/>
      <c r="G261" s="61"/>
      <c r="H261" s="65"/>
      <c r="I261" s="65"/>
      <c r="J261" s="65"/>
      <c r="K261" s="65"/>
      <c r="L261" s="65"/>
      <c r="M261" s="61"/>
      <c r="N261" s="65"/>
      <c r="O261" s="65"/>
      <c r="P261" s="65"/>
      <c r="Q261" s="65"/>
      <c r="R261" s="65"/>
      <c r="S261" s="61"/>
      <c r="T261" s="62"/>
    </row>
    <row r="262" spans="1:20" ht="15.75" x14ac:dyDescent="0.25">
      <c r="A262" s="58" t="s">
        <v>250</v>
      </c>
      <c r="B262" s="59"/>
      <c r="C262" s="59"/>
      <c r="D262" s="59"/>
      <c r="E262" s="59"/>
      <c r="F262" s="59"/>
      <c r="G262" s="59"/>
      <c r="H262" s="59"/>
      <c r="I262" s="59"/>
      <c r="J262" s="59"/>
      <c r="K262" s="59"/>
      <c r="L262" s="59"/>
      <c r="M262" s="59"/>
      <c r="N262" s="59"/>
      <c r="O262" s="59"/>
      <c r="P262" s="59"/>
      <c r="Q262" s="59"/>
      <c r="R262" s="59"/>
      <c r="S262" s="59"/>
      <c r="T262" s="58"/>
    </row>
    <row r="263" spans="1:20" ht="15.75" x14ac:dyDescent="0.25">
      <c r="A263" s="58" t="s">
        <v>115</v>
      </c>
      <c r="B263" s="59"/>
      <c r="C263" s="59"/>
      <c r="D263" s="59"/>
      <c r="E263" s="59"/>
      <c r="F263" s="59"/>
      <c r="G263" s="59"/>
      <c r="H263" s="59"/>
      <c r="I263" s="59"/>
      <c r="J263" s="59"/>
      <c r="K263" s="59"/>
      <c r="L263" s="59"/>
      <c r="M263" s="59"/>
      <c r="N263" s="59"/>
      <c r="O263" s="59"/>
      <c r="P263" s="59"/>
      <c r="Q263" s="59"/>
      <c r="R263" s="59"/>
      <c r="S263" s="59"/>
      <c r="T263" s="58"/>
    </row>
    <row r="264" spans="1:20" ht="15.75" x14ac:dyDescent="0.25">
      <c r="A264" s="58" t="s">
        <v>129</v>
      </c>
      <c r="B264" s="59"/>
      <c r="C264" s="59"/>
      <c r="D264" s="59"/>
      <c r="E264" s="59"/>
      <c r="F264" s="59"/>
      <c r="G264" s="59"/>
      <c r="H264" s="59"/>
      <c r="I264" s="59"/>
      <c r="J264" s="59"/>
      <c r="K264" s="59"/>
      <c r="L264" s="59"/>
      <c r="M264" s="59"/>
      <c r="N264" s="59"/>
      <c r="O264" s="59"/>
      <c r="P264" s="59"/>
      <c r="Q264" s="59"/>
      <c r="R264" s="59"/>
      <c r="S264" s="59"/>
      <c r="T264" s="59"/>
    </row>
    <row r="265" spans="1:20" ht="7.5" customHeight="1" x14ac:dyDescent="0.25">
      <c r="A265" s="60"/>
      <c r="B265" s="61"/>
      <c r="C265" s="61"/>
      <c r="D265" s="62"/>
      <c r="E265" s="62"/>
      <c r="F265" s="62"/>
      <c r="G265" s="61"/>
      <c r="H265" s="61"/>
      <c r="I265" s="61"/>
      <c r="J265" s="61"/>
      <c r="K265" s="61"/>
      <c r="L265" s="61"/>
      <c r="M265" s="61"/>
      <c r="N265" s="61"/>
      <c r="O265" s="61"/>
      <c r="P265" s="61"/>
      <c r="Q265" s="61"/>
      <c r="R265" s="61"/>
      <c r="S265" s="61"/>
      <c r="T265" s="61"/>
    </row>
    <row r="266" spans="1:20" x14ac:dyDescent="0.2">
      <c r="A266" s="62"/>
      <c r="B266" s="61"/>
      <c r="C266" s="63" t="s">
        <v>122</v>
      </c>
      <c r="D266" s="63"/>
      <c r="E266" s="63"/>
      <c r="F266" s="63"/>
      <c r="G266" s="61"/>
      <c r="H266" s="63" t="s">
        <v>123</v>
      </c>
      <c r="I266" s="63"/>
      <c r="J266" s="63"/>
      <c r="K266" s="63"/>
      <c r="L266" s="59"/>
      <c r="M266" s="61"/>
      <c r="N266" s="63" t="s">
        <v>124</v>
      </c>
      <c r="O266" s="63"/>
      <c r="P266" s="63"/>
      <c r="Q266" s="63"/>
      <c r="R266" s="59"/>
      <c r="S266" s="61"/>
      <c r="T266" s="62"/>
    </row>
    <row r="267" spans="1:20" x14ac:dyDescent="0.2">
      <c r="A267" s="62" t="s">
        <v>41</v>
      </c>
      <c r="B267" s="61"/>
      <c r="C267" s="62" t="s">
        <v>32</v>
      </c>
      <c r="D267" s="62" t="s">
        <v>125</v>
      </c>
      <c r="E267" s="62" t="s">
        <v>33</v>
      </c>
      <c r="F267" s="62" t="s">
        <v>126</v>
      </c>
      <c r="G267" s="62"/>
      <c r="H267" s="62" t="s">
        <v>32</v>
      </c>
      <c r="I267" s="62" t="s">
        <v>125</v>
      </c>
      <c r="J267" s="62" t="s">
        <v>127</v>
      </c>
      <c r="K267" s="62" t="s">
        <v>33</v>
      </c>
      <c r="L267" s="62" t="s">
        <v>128</v>
      </c>
      <c r="M267" s="62"/>
      <c r="N267" s="62" t="s">
        <v>32</v>
      </c>
      <c r="O267" s="62" t="s">
        <v>125</v>
      </c>
      <c r="P267" s="62" t="s">
        <v>127</v>
      </c>
      <c r="Q267" s="62" t="s">
        <v>33</v>
      </c>
      <c r="R267" s="62" t="s">
        <v>128</v>
      </c>
      <c r="S267" s="61"/>
      <c r="T267" s="62" t="s">
        <v>41</v>
      </c>
    </row>
    <row r="268" spans="1:20" x14ac:dyDescent="0.2">
      <c r="A268" s="62">
        <v>1</v>
      </c>
      <c r="B268" s="61"/>
      <c r="C268" s="64">
        <v>1.0337175792507203</v>
      </c>
      <c r="D268" s="64">
        <v>0.98330804248861925</v>
      </c>
      <c r="E268" s="64">
        <v>0.98450413223140487</v>
      </c>
      <c r="F268" s="64">
        <v>1.0069444444444446</v>
      </c>
      <c r="G268" s="61"/>
      <c r="H268" s="64">
        <v>1.0212532063026751</v>
      </c>
      <c r="I268" s="64">
        <v>0.98353293413173659</v>
      </c>
      <c r="J268" s="64">
        <v>1.0076849183477425</v>
      </c>
      <c r="K268" s="64">
        <v>1</v>
      </c>
      <c r="L268" s="64">
        <v>1.0062111801242235</v>
      </c>
      <c r="M268" s="61"/>
      <c r="N268" s="64">
        <v>1.0086330935251799</v>
      </c>
      <c r="O268" s="64">
        <v>0.98368522072936659</v>
      </c>
      <c r="P268" s="64">
        <v>1.0079681274900398</v>
      </c>
      <c r="Q268" s="64">
        <v>0.97966728280961179</v>
      </c>
      <c r="R268" s="64">
        <v>1.0234375</v>
      </c>
      <c r="S268" s="61"/>
      <c r="T268" s="62">
        <v>1</v>
      </c>
    </row>
    <row r="269" spans="1:20" x14ac:dyDescent="0.2">
      <c r="A269" s="62">
        <v>2</v>
      </c>
      <c r="B269" s="61"/>
      <c r="C269" s="64">
        <v>1.061671469740634</v>
      </c>
      <c r="D269" s="64">
        <v>0.99848254931714719</v>
      </c>
      <c r="E269" s="64">
        <v>0.98347107438016523</v>
      </c>
      <c r="F269" s="64">
        <v>1.0336538461538465</v>
      </c>
      <c r="G269" s="61"/>
      <c r="H269" s="64">
        <v>1.0428728471967754</v>
      </c>
      <c r="I269" s="64">
        <v>1.0164670658682637</v>
      </c>
      <c r="J269" s="64">
        <v>1.0720461095100864</v>
      </c>
      <c r="K269" s="64">
        <v>0.98938679245283023</v>
      </c>
      <c r="L269" s="64">
        <v>1.027950310559006</v>
      </c>
      <c r="M269" s="61"/>
      <c r="N269" s="64">
        <v>1.0206235011990408</v>
      </c>
      <c r="O269" s="64">
        <v>1</v>
      </c>
      <c r="P269" s="64">
        <v>1.0966135458167332</v>
      </c>
      <c r="Q269" s="64">
        <v>1.0110905730129389</v>
      </c>
      <c r="R269" s="64">
        <v>1.046875</v>
      </c>
      <c r="S269" s="61"/>
      <c r="T269" s="62">
        <v>2</v>
      </c>
    </row>
    <row r="270" spans="1:20" x14ac:dyDescent="0.2">
      <c r="A270" s="62">
        <v>3</v>
      </c>
      <c r="B270" s="61"/>
      <c r="C270" s="64">
        <v>1.0651296829971182</v>
      </c>
      <c r="D270" s="64">
        <v>0.9969650986342945</v>
      </c>
      <c r="E270" s="64">
        <v>0.98966942148760317</v>
      </c>
      <c r="F270" s="64">
        <v>1.0432692307692311</v>
      </c>
      <c r="G270" s="61"/>
      <c r="H270" s="64">
        <v>1.04250641260535</v>
      </c>
      <c r="I270" s="64">
        <v>1.0224550898203595</v>
      </c>
      <c r="J270" s="64">
        <v>1.0806916426512967</v>
      </c>
      <c r="K270" s="64">
        <v>0.97995283018867929</v>
      </c>
      <c r="L270" s="64">
        <v>1.0341614906832295</v>
      </c>
      <c r="M270" s="61"/>
      <c r="N270" s="64">
        <v>1.015347721822542</v>
      </c>
      <c r="O270" s="64">
        <v>1.0004798464491365</v>
      </c>
      <c r="P270" s="64">
        <v>1.1125498007968129</v>
      </c>
      <c r="Q270" s="64">
        <v>1.0628465804066543</v>
      </c>
      <c r="R270" s="64">
        <v>1.0546875</v>
      </c>
      <c r="S270" s="61"/>
      <c r="T270" s="62">
        <v>3</v>
      </c>
    </row>
    <row r="271" spans="1:20" x14ac:dyDescent="0.2">
      <c r="A271" s="62">
        <v>4</v>
      </c>
      <c r="B271" s="61"/>
      <c r="C271" s="64">
        <v>1.0680115273775217</v>
      </c>
      <c r="D271" s="64">
        <v>1.0085988872028326</v>
      </c>
      <c r="E271" s="64">
        <v>1.0227272727272725</v>
      </c>
      <c r="F271" s="64">
        <v>1.0507478632478635</v>
      </c>
      <c r="G271" s="61"/>
      <c r="H271" s="64">
        <v>1.043239281788201</v>
      </c>
      <c r="I271" s="64">
        <v>1.0339321357285431</v>
      </c>
      <c r="J271" s="64">
        <v>1.100864553314121</v>
      </c>
      <c r="K271" s="64">
        <v>1.0106132075471699</v>
      </c>
      <c r="L271" s="64">
        <v>1.0403726708074532</v>
      </c>
      <c r="M271" s="61"/>
      <c r="N271" s="64">
        <v>1.0177458033573139</v>
      </c>
      <c r="O271" s="64">
        <v>1.011996161228407</v>
      </c>
      <c r="P271" s="64">
        <v>1.1324701195219125</v>
      </c>
      <c r="Q271" s="64">
        <v>1.1238447319778186</v>
      </c>
      <c r="R271" s="64">
        <v>1.06640625</v>
      </c>
      <c r="S271" s="61"/>
      <c r="T271" s="62">
        <v>4</v>
      </c>
    </row>
    <row r="272" spans="1:20" x14ac:dyDescent="0.2">
      <c r="A272" s="62">
        <v>5</v>
      </c>
      <c r="B272" s="61"/>
      <c r="C272" s="64">
        <v>1.0861671469740632</v>
      </c>
      <c r="D272" s="64">
        <v>1.0217501264542235</v>
      </c>
      <c r="E272" s="64">
        <v>1.0702479338842972</v>
      </c>
      <c r="F272" s="64">
        <v>1.0555555555555558</v>
      </c>
      <c r="G272" s="61"/>
      <c r="H272" s="64">
        <v>1.0582631000366438</v>
      </c>
      <c r="I272" s="64">
        <v>1.0484031936127749</v>
      </c>
      <c r="J272" s="64">
        <v>1.1258405379442844</v>
      </c>
      <c r="K272" s="64">
        <v>1.0613207547169812</v>
      </c>
      <c r="L272" s="64">
        <v>1.0559006211180122</v>
      </c>
      <c r="M272" s="61"/>
      <c r="N272" s="64">
        <v>1.0354916067146283</v>
      </c>
      <c r="O272" s="64">
        <v>1.0273512476007678</v>
      </c>
      <c r="P272" s="64">
        <v>1.1583665338645421</v>
      </c>
      <c r="Q272" s="64">
        <v>1.1959334565619222</v>
      </c>
      <c r="R272" s="64">
        <v>1.0859375</v>
      </c>
      <c r="S272" s="61"/>
      <c r="T272" s="62">
        <v>5</v>
      </c>
    </row>
    <row r="273" spans="1:20" x14ac:dyDescent="0.2">
      <c r="A273" s="62">
        <v>6</v>
      </c>
      <c r="B273" s="61"/>
      <c r="C273" s="64">
        <v>1.1028818443804034</v>
      </c>
      <c r="D273" s="64">
        <v>1.0399595346484571</v>
      </c>
      <c r="E273" s="64">
        <v>1.105371900826446</v>
      </c>
      <c r="F273" s="64">
        <v>1.0598290598290601</v>
      </c>
      <c r="G273" s="61"/>
      <c r="H273" s="64">
        <v>1.0710883107365341</v>
      </c>
      <c r="I273" s="64">
        <v>1.0668662674650702</v>
      </c>
      <c r="J273" s="64">
        <v>1.1556195965417866</v>
      </c>
      <c r="K273" s="64">
        <v>1.0966981132075473</v>
      </c>
      <c r="L273" s="64">
        <v>1.0652173913043477</v>
      </c>
      <c r="M273" s="61"/>
      <c r="N273" s="64">
        <v>1.0513189448441247</v>
      </c>
      <c r="O273" s="64">
        <v>1.0455854126679462</v>
      </c>
      <c r="P273" s="64">
        <v>1.1892430278884463</v>
      </c>
      <c r="Q273" s="64">
        <v>1.2476894639556375</v>
      </c>
      <c r="R273" s="64">
        <v>1.1015625</v>
      </c>
      <c r="S273" s="61"/>
      <c r="T273" s="62">
        <v>6</v>
      </c>
    </row>
    <row r="274" spans="1:20" x14ac:dyDescent="0.2">
      <c r="A274" s="62">
        <v>7</v>
      </c>
      <c r="B274" s="61"/>
      <c r="C274" s="64">
        <v>1.113544668587896</v>
      </c>
      <c r="D274" s="64">
        <v>1.060698027314112</v>
      </c>
      <c r="E274" s="64">
        <v>1.1239669421487604</v>
      </c>
      <c r="F274" s="64">
        <v>1.0641025641025645</v>
      </c>
      <c r="G274" s="61"/>
      <c r="H274" s="64">
        <v>1.0787834371564682</v>
      </c>
      <c r="I274" s="64">
        <v>1.0903193612774456</v>
      </c>
      <c r="J274" s="64">
        <v>1.1882804995196925</v>
      </c>
      <c r="K274" s="64">
        <v>1.116745283018868</v>
      </c>
      <c r="L274" s="64">
        <v>1.0714285714285712</v>
      </c>
      <c r="M274" s="61"/>
      <c r="N274" s="64">
        <v>1.0618705035971223</v>
      </c>
      <c r="O274" s="64">
        <v>1.0705374280230324</v>
      </c>
      <c r="P274" s="64">
        <v>1.2241035856573705</v>
      </c>
      <c r="Q274" s="64">
        <v>1.2735674676524951</v>
      </c>
      <c r="R274" s="64">
        <v>1.1171875</v>
      </c>
      <c r="S274" s="61"/>
      <c r="T274" s="62">
        <v>7</v>
      </c>
    </row>
    <row r="275" spans="1:20" x14ac:dyDescent="0.2">
      <c r="A275" s="62">
        <v>8</v>
      </c>
      <c r="B275" s="61"/>
      <c r="C275" s="64">
        <v>1.1221902017291063</v>
      </c>
      <c r="D275" s="64">
        <v>1.0824481537683357</v>
      </c>
      <c r="E275" s="64">
        <v>1.1384297520661155</v>
      </c>
      <c r="F275" s="64">
        <v>1.0705128205128207</v>
      </c>
      <c r="G275" s="61"/>
      <c r="H275" s="64">
        <v>1.0850128252107003</v>
      </c>
      <c r="I275" s="64">
        <v>1.1132734530938126</v>
      </c>
      <c r="J275" s="64">
        <v>1.2228626320845342</v>
      </c>
      <c r="K275" s="64">
        <v>1.1308962264150944</v>
      </c>
      <c r="L275" s="64">
        <v>1.0776397515527949</v>
      </c>
      <c r="M275" s="61"/>
      <c r="N275" s="64">
        <v>1.071462829736211</v>
      </c>
      <c r="O275" s="64">
        <v>1.0926103646833012</v>
      </c>
      <c r="P275" s="64">
        <v>1.25996015936255</v>
      </c>
      <c r="Q275" s="64">
        <v>1.2939001848428833</v>
      </c>
      <c r="R275" s="64">
        <v>1.1289062500000002</v>
      </c>
      <c r="S275" s="61"/>
      <c r="T275" s="62">
        <v>8</v>
      </c>
    </row>
    <row r="276" spans="1:20" x14ac:dyDescent="0.2">
      <c r="A276" s="62">
        <v>9</v>
      </c>
      <c r="B276" s="61"/>
      <c r="C276" s="64">
        <v>1.1253602305475501</v>
      </c>
      <c r="D276" s="64">
        <v>1.1047040971168436</v>
      </c>
      <c r="E276" s="64">
        <v>1.1487603305785121</v>
      </c>
      <c r="F276" s="64">
        <v>1.0763888888888888</v>
      </c>
      <c r="G276" s="61"/>
      <c r="H276" s="64">
        <v>1.0850128252107003</v>
      </c>
      <c r="I276" s="64">
        <v>1.1352295409181639</v>
      </c>
      <c r="J276" s="64">
        <v>1.2584053794428434</v>
      </c>
      <c r="K276" s="64">
        <v>1.1403301886792452</v>
      </c>
      <c r="L276" s="64">
        <v>1.0807453416149064</v>
      </c>
      <c r="M276" s="61"/>
      <c r="N276" s="64">
        <v>1.0743405275779374</v>
      </c>
      <c r="O276" s="64">
        <v>1.1142034548944335</v>
      </c>
      <c r="P276" s="64">
        <v>1.296812749003984</v>
      </c>
      <c r="Q276" s="64">
        <v>1.306839186691312</v>
      </c>
      <c r="R276" s="64">
        <v>1.1367187500000004</v>
      </c>
      <c r="S276" s="61"/>
      <c r="T276" s="62">
        <v>9</v>
      </c>
    </row>
    <row r="277" spans="1:20" x14ac:dyDescent="0.2">
      <c r="A277" s="62">
        <v>10</v>
      </c>
      <c r="B277" s="61"/>
      <c r="C277" s="64">
        <v>1.1357348703170025</v>
      </c>
      <c r="D277" s="64">
        <v>1.1279716742539201</v>
      </c>
      <c r="E277" s="64">
        <v>1.1621900826446279</v>
      </c>
      <c r="F277" s="64">
        <v>1.0817307692307692</v>
      </c>
      <c r="G277" s="61"/>
      <c r="H277" s="64">
        <v>1.0945401245877615</v>
      </c>
      <c r="I277" s="64">
        <v>1.1581836327345312</v>
      </c>
      <c r="J277" s="64">
        <v>1.2949087415946205</v>
      </c>
      <c r="K277" s="64">
        <v>1.1533018867924527</v>
      </c>
      <c r="L277" s="64">
        <v>1.0869565217391302</v>
      </c>
      <c r="M277" s="61"/>
      <c r="N277" s="64">
        <v>1.0863309352517982</v>
      </c>
      <c r="O277" s="64">
        <v>1.1367562380038387</v>
      </c>
      <c r="P277" s="64">
        <v>1.3336653386454183</v>
      </c>
      <c r="Q277" s="64">
        <v>1.3216266173752307</v>
      </c>
      <c r="R277" s="64">
        <v>1.1445312500000004</v>
      </c>
      <c r="S277" s="61"/>
      <c r="T277" s="62">
        <v>10</v>
      </c>
    </row>
    <row r="278" spans="1:20" x14ac:dyDescent="0.2">
      <c r="A278" s="62">
        <v>11</v>
      </c>
      <c r="B278" s="61"/>
      <c r="C278" s="64">
        <v>1.1429394812680111</v>
      </c>
      <c r="D278" s="64">
        <v>1.1527567020738492</v>
      </c>
      <c r="E278" s="64">
        <v>1.1828512396694211</v>
      </c>
      <c r="F278" s="64">
        <v>1.0892094017094016</v>
      </c>
      <c r="G278" s="61"/>
      <c r="H278" s="64">
        <v>1.0993037742762921</v>
      </c>
      <c r="I278" s="64">
        <v>1.1826347305389224</v>
      </c>
      <c r="J278" s="64">
        <v>1.3333333333333333</v>
      </c>
      <c r="K278" s="64">
        <v>1.1733490566037734</v>
      </c>
      <c r="L278" s="64">
        <v>1.0931677018633539</v>
      </c>
      <c r="M278" s="61"/>
      <c r="N278" s="64">
        <v>1.0949640287769782</v>
      </c>
      <c r="O278" s="64">
        <v>1.160268714011516</v>
      </c>
      <c r="P278" s="64">
        <v>1.3735059760956172</v>
      </c>
      <c r="Q278" s="64">
        <v>1.3512014787430677</v>
      </c>
      <c r="R278" s="64">
        <v>1.1523437500000007</v>
      </c>
      <c r="S278" s="61"/>
      <c r="T278" s="62">
        <v>11</v>
      </c>
    </row>
    <row r="279" spans="1:20" x14ac:dyDescent="0.2">
      <c r="A279" s="62">
        <v>12</v>
      </c>
      <c r="B279" s="61"/>
      <c r="C279" s="64">
        <v>1.1487031700288182</v>
      </c>
      <c r="D279" s="64">
        <v>1.1795649974709155</v>
      </c>
      <c r="E279" s="64">
        <v>1.1900826446280988</v>
      </c>
      <c r="F279" s="64">
        <v>1.095619658119658</v>
      </c>
      <c r="G279" s="61"/>
      <c r="H279" s="64">
        <v>1.103334554781972</v>
      </c>
      <c r="I279" s="64">
        <v>1.2090818363273454</v>
      </c>
      <c r="J279" s="64">
        <v>1.3727185398655135</v>
      </c>
      <c r="K279" s="64">
        <v>1.1780660377358489</v>
      </c>
      <c r="L279" s="64">
        <v>1.0993788819875774</v>
      </c>
      <c r="M279" s="61"/>
      <c r="N279" s="64">
        <v>1.1016786570743402</v>
      </c>
      <c r="O279" s="64">
        <v>1.1852207293666024</v>
      </c>
      <c r="P279" s="64">
        <v>1.4143426294820713</v>
      </c>
      <c r="Q279" s="64">
        <v>1.3548983364140474</v>
      </c>
      <c r="R279" s="64">
        <v>1.1640625000000004</v>
      </c>
      <c r="S279" s="61"/>
      <c r="T279" s="62">
        <v>12</v>
      </c>
    </row>
    <row r="280" spans="1:20" x14ac:dyDescent="0.2">
      <c r="A280" s="62">
        <v>13</v>
      </c>
      <c r="B280" s="61"/>
      <c r="C280" s="64">
        <v>1.1541786743515847</v>
      </c>
      <c r="D280" s="64">
        <v>1.206879109762266</v>
      </c>
      <c r="E280" s="64">
        <v>1.1838842975206609</v>
      </c>
      <c r="F280" s="64">
        <v>1.1009615384615383</v>
      </c>
      <c r="G280" s="61"/>
      <c r="H280" s="64">
        <v>1.1102968120190551</v>
      </c>
      <c r="I280" s="64">
        <v>1.2350299401197606</v>
      </c>
      <c r="J280" s="64">
        <v>1.4121037463976942</v>
      </c>
      <c r="K280" s="64">
        <v>1.1686320754716979</v>
      </c>
      <c r="L280" s="64">
        <v>1.1055900621118011</v>
      </c>
      <c r="M280" s="61"/>
      <c r="N280" s="64">
        <v>1.107913669064748</v>
      </c>
      <c r="O280" s="64">
        <v>1.2092130518234163</v>
      </c>
      <c r="P280" s="64">
        <v>1.4551792828685257</v>
      </c>
      <c r="Q280" s="64">
        <v>1.338262476894639</v>
      </c>
      <c r="R280" s="64">
        <v>1.1718750000000007</v>
      </c>
      <c r="S280" s="61"/>
      <c r="T280" s="62">
        <v>13</v>
      </c>
    </row>
    <row r="281" spans="1:20" x14ac:dyDescent="0.2">
      <c r="A281" s="62">
        <v>14</v>
      </c>
      <c r="B281" s="61"/>
      <c r="C281" s="64">
        <v>1.1550432276657057</v>
      </c>
      <c r="D281" s="64">
        <v>1.2352048558421853</v>
      </c>
      <c r="E281" s="64">
        <v>1.1818181818181814</v>
      </c>
      <c r="F281" s="64">
        <v>1.1079059829059827</v>
      </c>
      <c r="G281" s="61"/>
      <c r="H281" s="64">
        <v>1.1102968120190551</v>
      </c>
      <c r="I281" s="64">
        <v>1.2614770459081839</v>
      </c>
      <c r="J281" s="64">
        <v>1.4534101825168104</v>
      </c>
      <c r="K281" s="64">
        <v>1.1639150943396224</v>
      </c>
      <c r="L281" s="64">
        <v>1.1118012422360246</v>
      </c>
      <c r="M281" s="61"/>
      <c r="N281" s="64">
        <v>1.107913669064748</v>
      </c>
      <c r="O281" s="64">
        <v>1.2336852207293665</v>
      </c>
      <c r="P281" s="64">
        <v>1.4970119521912351</v>
      </c>
      <c r="Q281" s="64">
        <v>1.3290203327171899</v>
      </c>
      <c r="R281" s="64">
        <v>1.1835937500000007</v>
      </c>
      <c r="S281" s="61"/>
      <c r="T281" s="62">
        <v>14</v>
      </c>
    </row>
    <row r="282" spans="1:20" x14ac:dyDescent="0.2">
      <c r="A282" s="62">
        <v>15</v>
      </c>
      <c r="B282" s="61"/>
      <c r="C282" s="64">
        <v>1.1559077809798266</v>
      </c>
      <c r="D282" s="64">
        <v>1.2640364188163886</v>
      </c>
      <c r="E282" s="64">
        <v>1.1859504132231402</v>
      </c>
      <c r="F282" s="64">
        <v>1.1143162393162391</v>
      </c>
      <c r="G282" s="61"/>
      <c r="H282" s="64">
        <v>1.1095639428362043</v>
      </c>
      <c r="I282" s="64">
        <v>1.288423153692615</v>
      </c>
      <c r="J282" s="64">
        <v>1.4966378482228624</v>
      </c>
      <c r="K282" s="64">
        <v>1.1650943396226414</v>
      </c>
      <c r="L282" s="64">
        <v>1.1180124223602483</v>
      </c>
      <c r="M282" s="61"/>
      <c r="N282" s="64">
        <v>1.107913669064748</v>
      </c>
      <c r="O282" s="64">
        <v>1.2591170825335891</v>
      </c>
      <c r="P282" s="64">
        <v>1.5418326693227093</v>
      </c>
      <c r="Q282" s="64">
        <v>1.3290203327171899</v>
      </c>
      <c r="R282" s="64">
        <v>1.1914062500000007</v>
      </c>
      <c r="S282" s="61"/>
      <c r="T282" s="62">
        <v>15</v>
      </c>
    </row>
    <row r="283" spans="1:20" x14ac:dyDescent="0.2">
      <c r="A283" s="62">
        <v>16</v>
      </c>
      <c r="B283" s="61"/>
      <c r="C283" s="64">
        <v>1.1587896253602301</v>
      </c>
      <c r="D283" s="64">
        <v>1.294385432473445</v>
      </c>
      <c r="E283" s="64">
        <v>1.2014462809917352</v>
      </c>
      <c r="F283" s="64">
        <v>1.1223290598290598</v>
      </c>
      <c r="G283" s="61"/>
      <c r="H283" s="64">
        <v>1.1113961157933314</v>
      </c>
      <c r="I283" s="64">
        <v>1.3168662674650702</v>
      </c>
      <c r="J283" s="64">
        <v>1.5417867435158499</v>
      </c>
      <c r="K283" s="64">
        <v>1.1804245283018866</v>
      </c>
      <c r="L283" s="64">
        <v>1.1242236024844718</v>
      </c>
      <c r="M283" s="61"/>
      <c r="N283" s="64">
        <v>1.1098321342925657</v>
      </c>
      <c r="O283" s="64">
        <v>1.2859884836852207</v>
      </c>
      <c r="P283" s="64">
        <v>1.5896414342629486</v>
      </c>
      <c r="Q283" s="64">
        <v>1.347504621072088</v>
      </c>
      <c r="R283" s="64">
        <v>1.1992187500000007</v>
      </c>
      <c r="S283" s="61"/>
      <c r="T283" s="62">
        <v>16</v>
      </c>
    </row>
    <row r="284" spans="1:20" x14ac:dyDescent="0.2">
      <c r="A284" s="62">
        <v>17</v>
      </c>
      <c r="B284" s="61"/>
      <c r="C284" s="64">
        <v>1.1634005763688755</v>
      </c>
      <c r="D284" s="64">
        <v>1.3237228123419327</v>
      </c>
      <c r="E284" s="64">
        <v>1.2231404958677681</v>
      </c>
      <c r="F284" s="64">
        <v>1.1324786324786325</v>
      </c>
      <c r="G284" s="61"/>
      <c r="H284" s="64">
        <v>1.1154268962990113</v>
      </c>
      <c r="I284" s="64">
        <v>1.3458083832335332</v>
      </c>
      <c r="J284" s="64">
        <v>1.5878962536023051</v>
      </c>
      <c r="K284" s="64">
        <v>1.2004716981132073</v>
      </c>
      <c r="L284" s="64">
        <v>1.1304347826086956</v>
      </c>
      <c r="M284" s="61"/>
      <c r="N284" s="64">
        <v>1.115587529976019</v>
      </c>
      <c r="O284" s="64">
        <v>1.312859884836852</v>
      </c>
      <c r="P284" s="64">
        <v>1.6374501992031876</v>
      </c>
      <c r="Q284" s="64">
        <v>1.3789279112754151</v>
      </c>
      <c r="R284" s="64">
        <v>1.2070312500000007</v>
      </c>
      <c r="S284" s="61"/>
      <c r="T284" s="62">
        <v>17</v>
      </c>
    </row>
    <row r="285" spans="1:20" x14ac:dyDescent="0.2">
      <c r="A285" s="62">
        <v>18</v>
      </c>
      <c r="B285" s="61"/>
      <c r="C285" s="64">
        <v>1.1691642651296825</v>
      </c>
      <c r="D285" s="64">
        <v>1.3550834597875574</v>
      </c>
      <c r="E285" s="64">
        <v>1.2427685950413216</v>
      </c>
      <c r="F285" s="64">
        <v>1.141559829059829</v>
      </c>
      <c r="G285" s="61"/>
      <c r="H285" s="64">
        <v>1.1212898497618182</v>
      </c>
      <c r="I285" s="64">
        <v>1.3772455089820363</v>
      </c>
      <c r="J285" s="64">
        <v>1.6320845341018246</v>
      </c>
      <c r="K285" s="64">
        <v>1.220518867924528</v>
      </c>
      <c r="L285" s="64">
        <v>1.1366459627329191</v>
      </c>
      <c r="M285" s="61"/>
      <c r="N285" s="64">
        <v>1.1237410071942444</v>
      </c>
      <c r="O285" s="64">
        <v>1.3430902111324374</v>
      </c>
      <c r="P285" s="64">
        <v>1.6832669322709166</v>
      </c>
      <c r="Q285" s="64">
        <v>1.4048059149722729</v>
      </c>
      <c r="R285" s="64">
        <v>1.2187500000000007</v>
      </c>
      <c r="S285" s="61"/>
      <c r="T285" s="62">
        <v>18</v>
      </c>
    </row>
    <row r="286" spans="1:20" x14ac:dyDescent="0.2">
      <c r="A286" s="62">
        <v>19</v>
      </c>
      <c r="B286" s="61"/>
      <c r="C286" s="64">
        <v>1.1746397694524491</v>
      </c>
      <c r="D286" s="64">
        <v>1.3869499241274663</v>
      </c>
      <c r="E286" s="64">
        <v>1.2623966942148754</v>
      </c>
      <c r="F286" s="64">
        <v>1.1501068376068377</v>
      </c>
      <c r="G286" s="61"/>
      <c r="H286" s="64">
        <v>1.1267863686331996</v>
      </c>
      <c r="I286" s="64">
        <v>1.4086826347305395</v>
      </c>
      <c r="J286" s="64">
        <v>1.6820365033621514</v>
      </c>
      <c r="K286" s="64">
        <v>1.2393867924528299</v>
      </c>
      <c r="L286" s="64">
        <v>1.1428571428571426</v>
      </c>
      <c r="M286" s="61"/>
      <c r="N286" s="64">
        <v>1.1309352517985609</v>
      </c>
      <c r="O286" s="64">
        <v>1.3738003838771593</v>
      </c>
      <c r="P286" s="64">
        <v>1.7340637450199208</v>
      </c>
      <c r="Q286" s="64">
        <v>1.4306839186691309</v>
      </c>
      <c r="R286" s="64">
        <v>1.2265625000000007</v>
      </c>
      <c r="S286" s="61"/>
      <c r="T286" s="62">
        <v>19</v>
      </c>
    </row>
    <row r="287" spans="1:20" x14ac:dyDescent="0.2">
      <c r="A287" s="62">
        <v>20</v>
      </c>
      <c r="B287" s="61"/>
      <c r="C287" s="64">
        <v>1.1789625360230542</v>
      </c>
      <c r="D287" s="64">
        <v>1.4193222053616592</v>
      </c>
      <c r="E287" s="64">
        <v>1.282024793388429</v>
      </c>
      <c r="F287" s="64">
        <v>1.1586538461538463</v>
      </c>
      <c r="G287" s="61"/>
      <c r="H287" s="64">
        <v>1.1308171491388794</v>
      </c>
      <c r="I287" s="64">
        <v>1.4411177644710584</v>
      </c>
      <c r="J287" s="64">
        <v>1.7319884726224781</v>
      </c>
      <c r="K287" s="64">
        <v>1.2582547169811318</v>
      </c>
      <c r="L287" s="64">
        <v>1.152173913043478</v>
      </c>
      <c r="M287" s="61"/>
      <c r="N287" s="64">
        <v>1.1376498800959229</v>
      </c>
      <c r="O287" s="64">
        <v>1.4049904030710174</v>
      </c>
      <c r="P287" s="64">
        <v>1.7858565737051797</v>
      </c>
      <c r="Q287" s="64">
        <v>1.4584103512014785</v>
      </c>
      <c r="R287" s="64">
        <v>1.2343750000000007</v>
      </c>
      <c r="S287" s="61"/>
      <c r="T287" s="62">
        <v>20</v>
      </c>
    </row>
    <row r="288" spans="1:20" x14ac:dyDescent="0.2">
      <c r="A288" s="62">
        <v>21</v>
      </c>
      <c r="B288" s="61"/>
      <c r="C288" s="64">
        <v>1.1809798270893366</v>
      </c>
      <c r="D288" s="64">
        <v>1.452200303490137</v>
      </c>
      <c r="E288" s="64">
        <v>1.3006198347107432</v>
      </c>
      <c r="F288" s="64">
        <v>1.1677350427350428</v>
      </c>
      <c r="G288" s="61"/>
      <c r="H288" s="64">
        <v>1.1322828875045812</v>
      </c>
      <c r="I288" s="64">
        <v>1.4735528942115776</v>
      </c>
      <c r="J288" s="64">
        <v>1.7829010566762724</v>
      </c>
      <c r="K288" s="64">
        <v>1.2759433962264151</v>
      </c>
      <c r="L288" s="64">
        <v>1.1583850931677018</v>
      </c>
      <c r="M288" s="61"/>
      <c r="N288" s="64">
        <v>1.141966426858513</v>
      </c>
      <c r="O288" s="64">
        <v>1.4366602687140115</v>
      </c>
      <c r="P288" s="64">
        <v>1.8386454183266938</v>
      </c>
      <c r="Q288" s="64">
        <v>1.4842883548983363</v>
      </c>
      <c r="R288" s="64">
        <v>1.2421875000000007</v>
      </c>
      <c r="S288" s="61"/>
      <c r="T288" s="62">
        <v>21</v>
      </c>
    </row>
    <row r="289" spans="1:20" x14ac:dyDescent="0.2">
      <c r="A289" s="62">
        <v>22</v>
      </c>
      <c r="B289" s="61"/>
      <c r="C289" s="64">
        <v>1.1841498559077805</v>
      </c>
      <c r="D289" s="64">
        <v>1.4865958523014675</v>
      </c>
      <c r="E289" s="64">
        <v>1.3140495867768589</v>
      </c>
      <c r="F289" s="64">
        <v>1.1752136752136753</v>
      </c>
      <c r="G289" s="61"/>
      <c r="H289" s="64">
        <v>1.1374129717845374</v>
      </c>
      <c r="I289" s="64">
        <v>1.5074850299401206</v>
      </c>
      <c r="J289" s="64">
        <v>1.8328530259365989</v>
      </c>
      <c r="K289" s="64">
        <v>1.2889150943396226</v>
      </c>
      <c r="L289" s="64">
        <v>1.1677018633540373</v>
      </c>
      <c r="M289" s="61"/>
      <c r="N289" s="64">
        <v>1.1501199040767385</v>
      </c>
      <c r="O289" s="64">
        <v>1.4688099808061419</v>
      </c>
      <c r="P289" s="64">
        <v>1.8904382470119527</v>
      </c>
      <c r="Q289" s="64">
        <v>1.5009242144177448</v>
      </c>
      <c r="R289" s="64">
        <v>1.2500000000000007</v>
      </c>
      <c r="S289" s="61"/>
      <c r="T289" s="62">
        <v>22</v>
      </c>
    </row>
    <row r="290" spans="1:20" x14ac:dyDescent="0.2">
      <c r="A290" s="62">
        <v>23</v>
      </c>
      <c r="B290" s="61"/>
      <c r="C290" s="64">
        <v>1.1913544668587892</v>
      </c>
      <c r="D290" s="64">
        <v>1.5240263024785032</v>
      </c>
      <c r="E290" s="64">
        <v>1.3357438016528917</v>
      </c>
      <c r="F290" s="64">
        <v>1.1837606837606838</v>
      </c>
      <c r="G290" s="61"/>
      <c r="H290" s="64">
        <v>1.1458409673873224</v>
      </c>
      <c r="I290" s="64">
        <v>1.5444111776447114</v>
      </c>
      <c r="J290" s="64">
        <v>1.886647454370797</v>
      </c>
      <c r="K290" s="64">
        <v>1.3101415094339621</v>
      </c>
      <c r="L290" s="64">
        <v>1.1770186335403727</v>
      </c>
      <c r="M290" s="61"/>
      <c r="N290" s="64">
        <v>1.1625899280575538</v>
      </c>
      <c r="O290" s="64">
        <v>1.5047984644913626</v>
      </c>
      <c r="P290" s="64">
        <v>1.9462151394422313</v>
      </c>
      <c r="Q290" s="64">
        <v>1.5304990757855821</v>
      </c>
      <c r="R290" s="64">
        <v>1.2578125000000009</v>
      </c>
      <c r="S290" s="61"/>
      <c r="T290" s="62">
        <v>23</v>
      </c>
    </row>
    <row r="291" spans="1:20" x14ac:dyDescent="0.2">
      <c r="A291" s="62">
        <v>24</v>
      </c>
      <c r="B291" s="61"/>
      <c r="C291" s="64">
        <v>1.2008645533141205</v>
      </c>
      <c r="D291" s="64">
        <v>1.5599393019726864</v>
      </c>
      <c r="E291" s="64">
        <v>1.3770661157024784</v>
      </c>
      <c r="F291" s="64">
        <v>1.1944444444444444</v>
      </c>
      <c r="G291" s="61"/>
      <c r="H291" s="64">
        <v>1.1557347013558092</v>
      </c>
      <c r="I291" s="64">
        <v>1.5808383233532941</v>
      </c>
      <c r="J291" s="64">
        <v>1.9702209414024972</v>
      </c>
      <c r="K291" s="64">
        <v>1.3525943396226414</v>
      </c>
      <c r="L291" s="64">
        <v>1.18944099378882</v>
      </c>
      <c r="M291" s="61"/>
      <c r="N291" s="64">
        <v>1.1774580335731415</v>
      </c>
      <c r="O291" s="64">
        <v>1.540307101727447</v>
      </c>
      <c r="P291" s="64">
        <v>2.0328685258964145</v>
      </c>
      <c r="Q291" s="64">
        <v>1.5933456561922363</v>
      </c>
      <c r="R291" s="64">
        <v>1.2695312500000007</v>
      </c>
      <c r="S291" s="61"/>
      <c r="T291" s="62">
        <v>24</v>
      </c>
    </row>
    <row r="292" spans="1:20" x14ac:dyDescent="0.2">
      <c r="A292" s="62">
        <v>25</v>
      </c>
      <c r="B292" s="61"/>
      <c r="C292" s="64">
        <v>1.2115273775216133</v>
      </c>
      <c r="D292" s="64">
        <v>1.5958523014668693</v>
      </c>
      <c r="E292" s="64">
        <v>1.4214876033057842</v>
      </c>
      <c r="F292" s="64">
        <v>1.2061965811965811</v>
      </c>
      <c r="G292" s="61"/>
      <c r="H292" s="64">
        <v>1.1670941736899978</v>
      </c>
      <c r="I292" s="64">
        <v>1.616267465069861</v>
      </c>
      <c r="J292" s="64">
        <v>2.0758885686839572</v>
      </c>
      <c r="K292" s="64">
        <v>1.398584905660377</v>
      </c>
      <c r="L292" s="64">
        <v>1.1987577639751552</v>
      </c>
      <c r="M292" s="61"/>
      <c r="N292" s="64">
        <v>1.1932853717026377</v>
      </c>
      <c r="O292" s="64">
        <v>1.5738963531669863</v>
      </c>
      <c r="P292" s="64">
        <v>2.1424302788844622</v>
      </c>
      <c r="Q292" s="64">
        <v>1.6598890942698705</v>
      </c>
      <c r="R292" s="64">
        <v>1.2812500000000007</v>
      </c>
      <c r="S292" s="61"/>
      <c r="T292" s="62">
        <v>25</v>
      </c>
    </row>
    <row r="293" spans="1:20" x14ac:dyDescent="0.2">
      <c r="A293" s="62">
        <v>26</v>
      </c>
      <c r="B293" s="61"/>
      <c r="C293" s="64">
        <v>1.2178674351585008</v>
      </c>
      <c r="D293" s="64">
        <v>1.6312594840667682</v>
      </c>
      <c r="E293" s="64">
        <v>1.4431818181818172</v>
      </c>
      <c r="F293" s="64">
        <v>1.2152777777777779</v>
      </c>
      <c r="G293" s="61"/>
      <c r="H293" s="64">
        <v>1.1736899963356555</v>
      </c>
      <c r="I293" s="64">
        <v>1.65119760479042</v>
      </c>
      <c r="J293" s="64">
        <v>2.1546589817483186</v>
      </c>
      <c r="K293" s="64">
        <v>1.4233490566037732</v>
      </c>
      <c r="L293" s="64">
        <v>1.2080745341614907</v>
      </c>
      <c r="M293" s="61"/>
      <c r="N293" s="64">
        <v>1.2028776978417264</v>
      </c>
      <c r="O293" s="64">
        <v>1.6074856046065258</v>
      </c>
      <c r="P293" s="64">
        <v>2.2231075697211158</v>
      </c>
      <c r="Q293" s="64">
        <v>1.696857670979667</v>
      </c>
      <c r="R293" s="64">
        <v>1.2929687500000009</v>
      </c>
      <c r="S293" s="61"/>
      <c r="T293" s="62">
        <v>26</v>
      </c>
    </row>
    <row r="294" spans="1:20" x14ac:dyDescent="0.2">
      <c r="A294" s="62">
        <v>27</v>
      </c>
      <c r="B294" s="61"/>
      <c r="C294" s="64">
        <v>1.2227665706051867</v>
      </c>
      <c r="D294" s="64">
        <v>1.6666666666666672</v>
      </c>
      <c r="E294" s="64">
        <v>1.4597107438016519</v>
      </c>
      <c r="F294" s="64">
        <v>1.2238247863247864</v>
      </c>
      <c r="G294" s="61"/>
      <c r="H294" s="64">
        <v>1.1788200806156117</v>
      </c>
      <c r="I294" s="64">
        <v>1.6861277445109788</v>
      </c>
      <c r="J294" s="64">
        <v>2.221902017291066</v>
      </c>
      <c r="K294" s="64">
        <v>1.4410377358490563</v>
      </c>
      <c r="L294" s="64">
        <v>1.2204968944099379</v>
      </c>
      <c r="M294" s="61"/>
      <c r="N294" s="64">
        <v>1.2105515587529974</v>
      </c>
      <c r="O294" s="64">
        <v>1.6415547024952013</v>
      </c>
      <c r="P294" s="64">
        <v>2.2938247011952195</v>
      </c>
      <c r="Q294" s="64">
        <v>1.7264325323475043</v>
      </c>
      <c r="R294" s="64">
        <v>1.3046875000000009</v>
      </c>
      <c r="S294" s="61"/>
      <c r="T294" s="62">
        <v>27</v>
      </c>
    </row>
    <row r="295" spans="1:20" x14ac:dyDescent="0.2">
      <c r="A295" s="62">
        <v>28</v>
      </c>
      <c r="B295" s="61"/>
      <c r="C295" s="64">
        <v>1.227953890489913</v>
      </c>
      <c r="D295" s="64">
        <v>1.7035912999494187</v>
      </c>
      <c r="E295" s="64">
        <v>1.4752066115702469</v>
      </c>
      <c r="F295" s="64">
        <v>1.2318376068376069</v>
      </c>
      <c r="G295" s="61"/>
      <c r="H295" s="64">
        <v>1.1839501648955677</v>
      </c>
      <c r="I295" s="64">
        <v>1.722554890219562</v>
      </c>
      <c r="J295" s="64">
        <v>2.292026897214217</v>
      </c>
      <c r="K295" s="64">
        <v>1.4599056603773581</v>
      </c>
      <c r="L295" s="64">
        <v>1.2298136645962732</v>
      </c>
      <c r="M295" s="61"/>
      <c r="N295" s="64">
        <v>1.2182254196642683</v>
      </c>
      <c r="O295" s="64">
        <v>1.6765834932821493</v>
      </c>
      <c r="P295" s="64">
        <v>2.3665338645418332</v>
      </c>
      <c r="Q295" s="64">
        <v>1.7560073937153415</v>
      </c>
      <c r="R295" s="64">
        <v>1.3203125000000011</v>
      </c>
      <c r="S295" s="61"/>
      <c r="T295" s="62">
        <v>28</v>
      </c>
    </row>
    <row r="296" spans="1:20" x14ac:dyDescent="0.2">
      <c r="A296" s="62">
        <v>29</v>
      </c>
      <c r="B296" s="61"/>
      <c r="C296" s="64">
        <v>1.2328530259365988</v>
      </c>
      <c r="D296" s="64">
        <v>1.7410217501264549</v>
      </c>
      <c r="E296" s="64">
        <v>1.4917355371900816</v>
      </c>
      <c r="F296" s="64">
        <v>1.2398504273504274</v>
      </c>
      <c r="G296" s="61"/>
      <c r="H296" s="64">
        <v>1.1887138145840983</v>
      </c>
      <c r="I296" s="64">
        <v>1.7599800399201608</v>
      </c>
      <c r="J296" s="64">
        <v>2.3640730067243036</v>
      </c>
      <c r="K296" s="64">
        <v>1.4787735849056598</v>
      </c>
      <c r="L296" s="64">
        <v>1.2391304347826086</v>
      </c>
      <c r="M296" s="61"/>
      <c r="N296" s="64">
        <v>1.2258992805755393</v>
      </c>
      <c r="O296" s="64">
        <v>1.7120921305182337</v>
      </c>
      <c r="P296" s="64">
        <v>2.4402390438247017</v>
      </c>
      <c r="Q296" s="64">
        <v>1.785582255083179</v>
      </c>
      <c r="R296" s="64">
        <v>1.3320312500000013</v>
      </c>
      <c r="S296" s="61"/>
      <c r="T296" s="62">
        <v>29</v>
      </c>
    </row>
    <row r="297" spans="1:20" x14ac:dyDescent="0.2">
      <c r="A297" s="62">
        <v>30</v>
      </c>
      <c r="B297" s="61"/>
      <c r="C297" s="64">
        <v>1.2380403458213252</v>
      </c>
      <c r="D297" s="64">
        <v>1.7799696509863434</v>
      </c>
      <c r="E297" s="64">
        <v>1.5092975206611561</v>
      </c>
      <c r="F297" s="64">
        <v>1.2483974358974359</v>
      </c>
      <c r="G297" s="61"/>
      <c r="H297" s="64">
        <v>1.1938438988640543</v>
      </c>
      <c r="I297" s="64">
        <v>1.7984031936127756</v>
      </c>
      <c r="J297" s="64">
        <v>2.4380403458213258</v>
      </c>
      <c r="K297" s="64">
        <v>1.4976415094339615</v>
      </c>
      <c r="L297" s="64">
        <v>1.2515527950310559</v>
      </c>
      <c r="M297" s="61"/>
      <c r="N297" s="64">
        <v>1.234052757793765</v>
      </c>
      <c r="O297" s="64">
        <v>1.7490403071017273</v>
      </c>
      <c r="P297" s="64">
        <v>2.5169322709163349</v>
      </c>
      <c r="Q297" s="64">
        <v>1.8151571164510165</v>
      </c>
      <c r="R297" s="64">
        <v>1.3437500000000013</v>
      </c>
      <c r="S297" s="61"/>
      <c r="T297" s="62">
        <v>30</v>
      </c>
    </row>
    <row r="298" spans="1:20" x14ac:dyDescent="0.2">
      <c r="A298" s="62"/>
      <c r="B298" s="61"/>
      <c r="C298" s="65"/>
      <c r="D298" s="65"/>
      <c r="E298" s="65"/>
      <c r="F298" s="65"/>
      <c r="G298" s="61"/>
      <c r="H298" s="65"/>
      <c r="I298" s="65"/>
      <c r="J298" s="65"/>
      <c r="K298" s="65"/>
      <c r="L298" s="65"/>
      <c r="M298" s="61"/>
      <c r="N298" s="65"/>
      <c r="O298" s="65"/>
      <c r="P298" s="65"/>
      <c r="Q298" s="65"/>
      <c r="R298" s="65"/>
      <c r="S298" s="61"/>
      <c r="T298" s="62"/>
    </row>
    <row r="299" spans="1:20" ht="15.75" x14ac:dyDescent="0.25">
      <c r="A299" s="58" t="s">
        <v>250</v>
      </c>
      <c r="B299" s="59"/>
      <c r="C299" s="59"/>
      <c r="D299" s="59"/>
      <c r="E299" s="59"/>
      <c r="F299" s="59"/>
      <c r="G299" s="59"/>
      <c r="H299" s="59"/>
      <c r="I299" s="59"/>
      <c r="J299" s="59"/>
      <c r="K299" s="59"/>
      <c r="L299" s="59"/>
      <c r="M299" s="59"/>
      <c r="N299" s="59"/>
      <c r="O299" s="59"/>
      <c r="P299" s="59"/>
      <c r="Q299" s="59"/>
      <c r="R299" s="59"/>
      <c r="S299" s="59"/>
      <c r="T299" s="58"/>
    </row>
    <row r="300" spans="1:20" ht="15.75" x14ac:dyDescent="0.25">
      <c r="A300" s="58" t="s">
        <v>117</v>
      </c>
      <c r="B300" s="59"/>
      <c r="C300" s="59"/>
      <c r="D300" s="59"/>
      <c r="E300" s="59"/>
      <c r="F300" s="59"/>
      <c r="G300" s="59"/>
      <c r="H300" s="59"/>
      <c r="I300" s="59"/>
      <c r="J300" s="59"/>
      <c r="K300" s="59"/>
      <c r="L300" s="59"/>
      <c r="M300" s="59"/>
      <c r="N300" s="59"/>
      <c r="O300" s="59"/>
      <c r="P300" s="59"/>
      <c r="Q300" s="59"/>
      <c r="R300" s="59"/>
      <c r="S300" s="59"/>
      <c r="T300" s="58"/>
    </row>
    <row r="301" spans="1:20" ht="15.75" x14ac:dyDescent="0.25">
      <c r="A301" s="58" t="s">
        <v>156</v>
      </c>
      <c r="B301" s="59"/>
      <c r="C301" s="59"/>
      <c r="D301" s="59"/>
      <c r="E301" s="59"/>
      <c r="F301" s="59"/>
      <c r="G301" s="59"/>
      <c r="H301" s="59"/>
      <c r="I301" s="59"/>
      <c r="J301" s="59"/>
      <c r="K301" s="59"/>
      <c r="L301" s="59"/>
      <c r="M301" s="59"/>
      <c r="N301" s="59"/>
      <c r="O301" s="59"/>
      <c r="P301" s="59"/>
      <c r="Q301" s="59"/>
      <c r="R301" s="59"/>
      <c r="S301" s="59"/>
      <c r="T301" s="59"/>
    </row>
    <row r="302" spans="1:20" ht="7.5" customHeight="1" x14ac:dyDescent="0.25">
      <c r="A302" s="60"/>
      <c r="B302" s="61"/>
      <c r="C302" s="61"/>
      <c r="D302" s="62"/>
      <c r="E302" s="62"/>
      <c r="F302" s="62"/>
      <c r="G302" s="61"/>
      <c r="H302" s="61"/>
      <c r="I302" s="61"/>
      <c r="J302" s="61"/>
      <c r="K302" s="61"/>
      <c r="L302" s="61"/>
      <c r="M302" s="61"/>
      <c r="N302" s="61"/>
      <c r="O302" s="61"/>
      <c r="P302" s="61"/>
      <c r="Q302" s="61"/>
      <c r="R302" s="61"/>
      <c r="S302" s="61"/>
      <c r="T302" s="61"/>
    </row>
    <row r="303" spans="1:20" x14ac:dyDescent="0.2">
      <c r="A303" s="62"/>
      <c r="B303" s="61"/>
      <c r="C303" s="63" t="s">
        <v>122</v>
      </c>
      <c r="D303" s="63"/>
      <c r="E303" s="63"/>
      <c r="F303" s="63"/>
      <c r="G303" s="61"/>
      <c r="H303" s="63" t="s">
        <v>123</v>
      </c>
      <c r="I303" s="63"/>
      <c r="J303" s="63"/>
      <c r="K303" s="63"/>
      <c r="L303" s="59"/>
      <c r="M303" s="61"/>
      <c r="N303" s="63" t="s">
        <v>124</v>
      </c>
      <c r="O303" s="63"/>
      <c r="P303" s="63"/>
      <c r="Q303" s="63"/>
      <c r="R303" s="59"/>
      <c r="S303" s="61"/>
      <c r="T303" s="62"/>
    </row>
    <row r="304" spans="1:20" x14ac:dyDescent="0.2">
      <c r="A304" s="62" t="s">
        <v>41</v>
      </c>
      <c r="B304" s="61"/>
      <c r="C304" s="62" t="s">
        <v>32</v>
      </c>
      <c r="D304" s="62" t="s">
        <v>125</v>
      </c>
      <c r="E304" s="62" t="s">
        <v>33</v>
      </c>
      <c r="F304" s="62" t="s">
        <v>126</v>
      </c>
      <c r="G304" s="62"/>
      <c r="H304" s="62" t="s">
        <v>32</v>
      </c>
      <c r="I304" s="62" t="s">
        <v>125</v>
      </c>
      <c r="J304" s="62" t="s">
        <v>127</v>
      </c>
      <c r="K304" s="62" t="s">
        <v>33</v>
      </c>
      <c r="L304" s="62" t="s">
        <v>128</v>
      </c>
      <c r="M304" s="62"/>
      <c r="N304" s="62" t="s">
        <v>32</v>
      </c>
      <c r="O304" s="62" t="s">
        <v>125</v>
      </c>
      <c r="P304" s="62" t="s">
        <v>127</v>
      </c>
      <c r="Q304" s="62" t="s">
        <v>33</v>
      </c>
      <c r="R304" s="62" t="s">
        <v>128</v>
      </c>
      <c r="S304" s="61"/>
      <c r="T304" s="62" t="s">
        <v>41</v>
      </c>
    </row>
    <row r="305" spans="1:20" x14ac:dyDescent="0.2">
      <c r="A305" s="62">
        <v>1</v>
      </c>
      <c r="B305" s="61"/>
      <c r="C305" s="64">
        <v>1.0283645141822571</v>
      </c>
      <c r="D305" s="64">
        <v>0.98364717542120916</v>
      </c>
      <c r="E305" s="64">
        <v>0.98703403565640191</v>
      </c>
      <c r="F305" s="64">
        <v>1.0089590443686005</v>
      </c>
      <c r="G305" s="61"/>
      <c r="H305" s="64">
        <v>1.013771186440678</v>
      </c>
      <c r="I305" s="64">
        <v>0.98394380331159059</v>
      </c>
      <c r="J305" s="64">
        <v>1.0076923076923077</v>
      </c>
      <c r="K305" s="64">
        <v>0.98208955223880579</v>
      </c>
      <c r="L305" s="64">
        <v>1.0065359477124183</v>
      </c>
      <c r="M305" s="61"/>
      <c r="N305" s="64">
        <v>1.0031152647975077</v>
      </c>
      <c r="O305" s="64">
        <v>0.9832429768358798</v>
      </c>
      <c r="P305" s="64">
        <v>1.0093220338983051</v>
      </c>
      <c r="Q305" s="64">
        <v>0.95768374164810677</v>
      </c>
      <c r="R305" s="64">
        <v>1.0102564102564102</v>
      </c>
      <c r="S305" s="61"/>
      <c r="T305" s="62">
        <v>1</v>
      </c>
    </row>
    <row r="306" spans="1:20" x14ac:dyDescent="0.2">
      <c r="A306" s="62">
        <v>2</v>
      </c>
      <c r="B306" s="61"/>
      <c r="C306" s="64">
        <v>1.039529269764635</v>
      </c>
      <c r="D306" s="64">
        <v>1.0148662041625371</v>
      </c>
      <c r="E306" s="64">
        <v>0.97244732576985415</v>
      </c>
      <c r="F306" s="64">
        <v>1.0362627986348121</v>
      </c>
      <c r="G306" s="61"/>
      <c r="H306" s="64">
        <v>1.018361581920904</v>
      </c>
      <c r="I306" s="64">
        <v>1.0180632212744607</v>
      </c>
      <c r="J306" s="64">
        <v>1.0692307692307692</v>
      </c>
      <c r="K306" s="64">
        <v>0.94925373134328339</v>
      </c>
      <c r="L306" s="64">
        <v>1.0174291938997821</v>
      </c>
      <c r="M306" s="61"/>
      <c r="N306" s="64">
        <v>1.0015576323987536</v>
      </c>
      <c r="O306" s="64">
        <v>1.0054213898472153</v>
      </c>
      <c r="P306" s="64">
        <v>1.0728813559322035</v>
      </c>
      <c r="Q306" s="64">
        <v>1.0044543429844095</v>
      </c>
      <c r="R306" s="64">
        <v>1.0256410256410255</v>
      </c>
      <c r="S306" s="61"/>
      <c r="T306" s="62">
        <v>2</v>
      </c>
    </row>
    <row r="307" spans="1:20" x14ac:dyDescent="0.2">
      <c r="A307" s="62">
        <v>3</v>
      </c>
      <c r="B307" s="61"/>
      <c r="C307" s="64">
        <v>1.0347012673506337</v>
      </c>
      <c r="D307" s="64">
        <v>1.0183349851337957</v>
      </c>
      <c r="E307" s="64">
        <v>0.97568881685575348</v>
      </c>
      <c r="F307" s="64">
        <v>1.0465017064846416</v>
      </c>
      <c r="G307" s="61"/>
      <c r="H307" s="64">
        <v>1.0105932203389831</v>
      </c>
      <c r="I307" s="64">
        <v>1.0235825388861013</v>
      </c>
      <c r="J307" s="64">
        <v>1.0752136752136752</v>
      </c>
      <c r="K307" s="64">
        <v>0.93631840796019894</v>
      </c>
      <c r="L307" s="64">
        <v>1.0174291938997821</v>
      </c>
      <c r="M307" s="61"/>
      <c r="N307" s="64">
        <v>0.9901349948078918</v>
      </c>
      <c r="O307" s="64">
        <v>1.0073928043371121</v>
      </c>
      <c r="P307" s="64">
        <v>1.0805084745762712</v>
      </c>
      <c r="Q307" s="64">
        <v>1.0801781737193761</v>
      </c>
      <c r="R307" s="64">
        <v>1.0282051282051281</v>
      </c>
      <c r="S307" s="61"/>
      <c r="T307" s="62">
        <v>3</v>
      </c>
    </row>
    <row r="308" spans="1:20" x14ac:dyDescent="0.2">
      <c r="A308" s="62">
        <v>4</v>
      </c>
      <c r="B308" s="61"/>
      <c r="C308" s="64">
        <v>1.0365117682558842</v>
      </c>
      <c r="D308" s="64">
        <v>1.0277502477700691</v>
      </c>
      <c r="E308" s="64">
        <v>1.0097244732576984</v>
      </c>
      <c r="F308" s="64">
        <v>1.0546075085324231</v>
      </c>
      <c r="G308" s="61"/>
      <c r="H308" s="64">
        <v>1.0116525423728815</v>
      </c>
      <c r="I308" s="64">
        <v>1.0351229302558955</v>
      </c>
      <c r="J308" s="64">
        <v>1.0931623931623931</v>
      </c>
      <c r="K308" s="64">
        <v>0.96915422885572133</v>
      </c>
      <c r="L308" s="64">
        <v>1.0261437908496733</v>
      </c>
      <c r="M308" s="61"/>
      <c r="N308" s="64">
        <v>0.99117341640706114</v>
      </c>
      <c r="O308" s="64">
        <v>1.0197141448989653</v>
      </c>
      <c r="P308" s="64">
        <v>1.097457627118644</v>
      </c>
      <c r="Q308" s="64">
        <v>1.1648106904231623</v>
      </c>
      <c r="R308" s="64">
        <v>1.0333333333333334</v>
      </c>
      <c r="S308" s="61"/>
      <c r="T308" s="62">
        <v>4</v>
      </c>
    </row>
    <row r="309" spans="1:20" x14ac:dyDescent="0.2">
      <c r="A309" s="62">
        <v>5</v>
      </c>
      <c r="B309" s="61"/>
      <c r="C309" s="64">
        <v>1.0534097767048882</v>
      </c>
      <c r="D309" s="64">
        <v>1.0406342913776014</v>
      </c>
      <c r="E309" s="64">
        <v>1.0575364667747162</v>
      </c>
      <c r="F309" s="64">
        <v>1.0593003412969282</v>
      </c>
      <c r="G309" s="61"/>
      <c r="H309" s="64">
        <v>1.0264830508474578</v>
      </c>
      <c r="I309" s="64">
        <v>1.0496738585047667</v>
      </c>
      <c r="J309" s="64">
        <v>1.1153846153846154</v>
      </c>
      <c r="K309" s="64">
        <v>1.0208955223880596</v>
      </c>
      <c r="L309" s="64">
        <v>1.0392156862745099</v>
      </c>
      <c r="M309" s="61"/>
      <c r="N309" s="64">
        <v>1.0067497403946002</v>
      </c>
      <c r="O309" s="64">
        <v>1.0349926071956632</v>
      </c>
      <c r="P309" s="64">
        <v>1.1194915254237288</v>
      </c>
      <c r="Q309" s="64">
        <v>1.2672605790645874</v>
      </c>
      <c r="R309" s="64">
        <v>1.0461538461538462</v>
      </c>
      <c r="S309" s="61"/>
      <c r="T309" s="62">
        <v>5</v>
      </c>
    </row>
    <row r="310" spans="1:20" x14ac:dyDescent="0.2">
      <c r="A310" s="62">
        <v>6</v>
      </c>
      <c r="B310" s="61"/>
      <c r="C310" s="64">
        <v>1.0718165359082681</v>
      </c>
      <c r="D310" s="64">
        <v>1.058473736372646</v>
      </c>
      <c r="E310" s="64">
        <v>1.0907617504051863</v>
      </c>
      <c r="F310" s="64">
        <v>1.0639931740614335</v>
      </c>
      <c r="G310" s="61"/>
      <c r="H310" s="64">
        <v>1.0444915254237288</v>
      </c>
      <c r="I310" s="64">
        <v>1.06823883592574</v>
      </c>
      <c r="J310" s="64">
        <v>1.1418803418803416</v>
      </c>
      <c r="K310" s="64">
        <v>1.0567164179104476</v>
      </c>
      <c r="L310" s="64">
        <v>1.0544662309368193</v>
      </c>
      <c r="M310" s="61"/>
      <c r="N310" s="64">
        <v>1.0223260643821392</v>
      </c>
      <c r="O310" s="64">
        <v>1.0542138984721543</v>
      </c>
      <c r="P310" s="64">
        <v>1.1466101694915252</v>
      </c>
      <c r="Q310" s="64">
        <v>1.3273942093541198</v>
      </c>
      <c r="R310" s="64">
        <v>1.0615384615384615</v>
      </c>
      <c r="S310" s="61"/>
      <c r="T310" s="62">
        <v>6</v>
      </c>
    </row>
    <row r="311" spans="1:20" x14ac:dyDescent="0.2">
      <c r="A311" s="62">
        <v>7</v>
      </c>
      <c r="B311" s="61"/>
      <c r="C311" s="64">
        <v>1.0814725407362704</v>
      </c>
      <c r="D311" s="64">
        <v>1.0782953419226955</v>
      </c>
      <c r="E311" s="64">
        <v>1.1061588330632088</v>
      </c>
      <c r="F311" s="64">
        <v>1.0686860068259385</v>
      </c>
      <c r="G311" s="61"/>
      <c r="H311" s="64">
        <v>1.053672316384181</v>
      </c>
      <c r="I311" s="64">
        <v>1.0918213748118415</v>
      </c>
      <c r="J311" s="64">
        <v>1.1709401709401706</v>
      </c>
      <c r="K311" s="64">
        <v>1.0726368159203978</v>
      </c>
      <c r="L311" s="64">
        <v>1.065359477124183</v>
      </c>
      <c r="M311" s="61"/>
      <c r="N311" s="64">
        <v>1.0301142263759087</v>
      </c>
      <c r="O311" s="64">
        <v>1.0798422868408089</v>
      </c>
      <c r="P311" s="64">
        <v>1.1754237288135592</v>
      </c>
      <c r="Q311" s="64">
        <v>1.3496659242761688</v>
      </c>
      <c r="R311" s="64">
        <v>1.0743589743589748</v>
      </c>
      <c r="S311" s="61"/>
      <c r="T311" s="62">
        <v>7</v>
      </c>
    </row>
    <row r="312" spans="1:20" x14ac:dyDescent="0.2">
      <c r="A312" s="62">
        <v>8</v>
      </c>
      <c r="B312" s="61"/>
      <c r="C312" s="64">
        <v>1.0911285455642725</v>
      </c>
      <c r="D312" s="64">
        <v>1.0996035678889988</v>
      </c>
      <c r="E312" s="64">
        <v>1.1223662884927064</v>
      </c>
      <c r="F312" s="64">
        <v>1.0755119453924913</v>
      </c>
      <c r="G312" s="61"/>
      <c r="H312" s="64">
        <v>1.0635593220338986</v>
      </c>
      <c r="I312" s="64">
        <v>1.1144004014049174</v>
      </c>
      <c r="J312" s="64">
        <v>1.2017094017094014</v>
      </c>
      <c r="K312" s="64">
        <v>1.090547263681592</v>
      </c>
      <c r="L312" s="64">
        <v>1.0697167755991286</v>
      </c>
      <c r="M312" s="61"/>
      <c r="N312" s="64">
        <v>1.0389408099688473</v>
      </c>
      <c r="O312" s="64">
        <v>1.1025135534746187</v>
      </c>
      <c r="P312" s="64">
        <v>1.2059322033898303</v>
      </c>
      <c r="Q312" s="64">
        <v>1.3763919821826276</v>
      </c>
      <c r="R312" s="64">
        <v>1.0794871794871796</v>
      </c>
      <c r="S312" s="61"/>
      <c r="T312" s="62">
        <v>8</v>
      </c>
    </row>
    <row r="313" spans="1:20" x14ac:dyDescent="0.2">
      <c r="A313" s="62">
        <v>9</v>
      </c>
      <c r="B313" s="61"/>
      <c r="C313" s="64">
        <v>1.0947495473747735</v>
      </c>
      <c r="D313" s="64">
        <v>1.1214073339940531</v>
      </c>
      <c r="E313" s="64">
        <v>1.1401944894651537</v>
      </c>
      <c r="F313" s="64">
        <v>1.0814846416382251</v>
      </c>
      <c r="G313" s="61"/>
      <c r="H313" s="64">
        <v>1.0656779661016953</v>
      </c>
      <c r="I313" s="64">
        <v>1.136979427997993</v>
      </c>
      <c r="J313" s="64">
        <v>1.2333333333333329</v>
      </c>
      <c r="K313" s="64">
        <v>1.108457711442786</v>
      </c>
      <c r="L313" s="64">
        <v>1.0718954248366013</v>
      </c>
      <c r="M313" s="61"/>
      <c r="N313" s="64">
        <v>1.0441329179646937</v>
      </c>
      <c r="O313" s="64">
        <v>1.1241991128634801</v>
      </c>
      <c r="P313" s="64">
        <v>1.2372881355932202</v>
      </c>
      <c r="Q313" s="64">
        <v>1.4008908685968815</v>
      </c>
      <c r="R313" s="64">
        <v>1.0820512820512822</v>
      </c>
      <c r="S313" s="61"/>
      <c r="T313" s="62">
        <v>9</v>
      </c>
    </row>
    <row r="314" spans="1:20" x14ac:dyDescent="0.2">
      <c r="A314" s="62">
        <v>10</v>
      </c>
      <c r="B314" s="61"/>
      <c r="C314" s="64">
        <v>1.1028968014484004</v>
      </c>
      <c r="D314" s="64">
        <v>1.1437066402378586</v>
      </c>
      <c r="E314" s="64">
        <v>1.1555915721231762</v>
      </c>
      <c r="F314" s="64">
        <v>1.0878839590443685</v>
      </c>
      <c r="G314" s="61"/>
      <c r="H314" s="64">
        <v>1.0734463276836161</v>
      </c>
      <c r="I314" s="64">
        <v>1.1600602107375817</v>
      </c>
      <c r="J314" s="64">
        <v>1.2658119658119655</v>
      </c>
      <c r="K314" s="64">
        <v>1.1233830845771142</v>
      </c>
      <c r="L314" s="64">
        <v>1.0762527233115469</v>
      </c>
      <c r="M314" s="61"/>
      <c r="N314" s="64">
        <v>1.0545171339563861</v>
      </c>
      <c r="O314" s="64">
        <v>1.1478560867422383</v>
      </c>
      <c r="P314" s="64">
        <v>1.26864406779661</v>
      </c>
      <c r="Q314" s="64">
        <v>1.4298440979955451</v>
      </c>
      <c r="R314" s="64">
        <v>1.0871794871794875</v>
      </c>
      <c r="S314" s="61"/>
      <c r="T314" s="62">
        <v>10</v>
      </c>
    </row>
    <row r="315" spans="1:20" x14ac:dyDescent="0.2">
      <c r="A315" s="62">
        <v>11</v>
      </c>
      <c r="B315" s="61"/>
      <c r="C315" s="64">
        <v>1.1092335546167771</v>
      </c>
      <c r="D315" s="64">
        <v>1.1679881070366696</v>
      </c>
      <c r="E315" s="64">
        <v>1.1734197730956235</v>
      </c>
      <c r="F315" s="64">
        <v>1.0955631399317405</v>
      </c>
      <c r="G315" s="61"/>
      <c r="H315" s="64">
        <v>1.0783898305084749</v>
      </c>
      <c r="I315" s="64">
        <v>1.1846462619167086</v>
      </c>
      <c r="J315" s="64">
        <v>1.2999999999999996</v>
      </c>
      <c r="K315" s="64">
        <v>1.1402985074626866</v>
      </c>
      <c r="L315" s="64">
        <v>1.0806100217864922</v>
      </c>
      <c r="M315" s="61"/>
      <c r="N315" s="64">
        <v>1.0628245067497402</v>
      </c>
      <c r="O315" s="64">
        <v>1.1720059142434707</v>
      </c>
      <c r="P315" s="64">
        <v>1.3025423728813557</v>
      </c>
      <c r="Q315" s="64">
        <v>1.4654788418708236</v>
      </c>
      <c r="R315" s="64">
        <v>1.0923076923076924</v>
      </c>
      <c r="S315" s="61"/>
      <c r="T315" s="62">
        <v>11</v>
      </c>
    </row>
    <row r="316" spans="1:20" x14ac:dyDescent="0.2">
      <c r="A316" s="62">
        <v>12</v>
      </c>
      <c r="B316" s="61"/>
      <c r="C316" s="64">
        <v>1.1152685576342787</v>
      </c>
      <c r="D316" s="64">
        <v>1.1922695738354803</v>
      </c>
      <c r="E316" s="64">
        <v>1.1815235008103722</v>
      </c>
      <c r="F316" s="64">
        <v>1.1019624573378839</v>
      </c>
      <c r="G316" s="61"/>
      <c r="H316" s="64">
        <v>1.0836864406779665</v>
      </c>
      <c r="I316" s="64">
        <v>1.2097340692423484</v>
      </c>
      <c r="J316" s="64">
        <v>1.3341880341880337</v>
      </c>
      <c r="K316" s="64">
        <v>1.1452736318407959</v>
      </c>
      <c r="L316" s="64">
        <v>1.0849673202614378</v>
      </c>
      <c r="M316" s="61"/>
      <c r="N316" s="64">
        <v>1.0706126687435096</v>
      </c>
      <c r="O316" s="64">
        <v>1.196648595367177</v>
      </c>
      <c r="P316" s="64">
        <v>1.33728813559322</v>
      </c>
      <c r="Q316" s="64">
        <v>1.4721603563474384</v>
      </c>
      <c r="R316" s="64">
        <v>1.0974358974358975</v>
      </c>
      <c r="S316" s="61"/>
      <c r="T316" s="62">
        <v>12</v>
      </c>
    </row>
    <row r="317" spans="1:20" x14ac:dyDescent="0.2">
      <c r="A317" s="62">
        <v>13</v>
      </c>
      <c r="B317" s="61"/>
      <c r="C317" s="64">
        <v>1.1173808086904042</v>
      </c>
      <c r="D317" s="64">
        <v>1.2190287413280472</v>
      </c>
      <c r="E317" s="64">
        <v>1.1839546191247967</v>
      </c>
      <c r="F317" s="64">
        <v>1.1079351535836177</v>
      </c>
      <c r="G317" s="61"/>
      <c r="H317" s="64">
        <v>1.086158192090396</v>
      </c>
      <c r="I317" s="64">
        <v>1.2363271450075266</v>
      </c>
      <c r="J317" s="64">
        <v>1.3692307692307688</v>
      </c>
      <c r="K317" s="64">
        <v>1.1422885572139303</v>
      </c>
      <c r="L317" s="64">
        <v>1.0915032679738559</v>
      </c>
      <c r="M317" s="61"/>
      <c r="N317" s="64">
        <v>1.072689511941848</v>
      </c>
      <c r="O317" s="64">
        <v>1.2212912764908832</v>
      </c>
      <c r="P317" s="64">
        <v>1.3720338983050846</v>
      </c>
      <c r="Q317" s="64">
        <v>1.4565701559020041</v>
      </c>
      <c r="R317" s="64">
        <v>1.105128205128205</v>
      </c>
      <c r="S317" s="61"/>
      <c r="T317" s="62">
        <v>13</v>
      </c>
    </row>
    <row r="318" spans="1:20" x14ac:dyDescent="0.2">
      <c r="A318" s="62">
        <v>14</v>
      </c>
      <c r="B318" s="61"/>
      <c r="C318" s="64">
        <v>1.1155703077851538</v>
      </c>
      <c r="D318" s="64">
        <v>1.246283448959365</v>
      </c>
      <c r="E318" s="64">
        <v>1.1888168557536458</v>
      </c>
      <c r="F318" s="64">
        <v>1.1151877133105801</v>
      </c>
      <c r="G318" s="61"/>
      <c r="H318" s="64">
        <v>1.0833333333333337</v>
      </c>
      <c r="I318" s="64">
        <v>1.2629202207727048</v>
      </c>
      <c r="J318" s="64">
        <v>1.4059829059829054</v>
      </c>
      <c r="K318" s="64">
        <v>1.1422885572139303</v>
      </c>
      <c r="L318" s="64">
        <v>1.1002178649237468</v>
      </c>
      <c r="M318" s="61"/>
      <c r="N318" s="64">
        <v>1.0716510903426788</v>
      </c>
      <c r="O318" s="64">
        <v>1.2469196648595378</v>
      </c>
      <c r="P318" s="64">
        <v>1.4076271186440676</v>
      </c>
      <c r="Q318" s="64">
        <v>1.4498886414253893</v>
      </c>
      <c r="R318" s="64">
        <v>1.1128205128205129</v>
      </c>
      <c r="S318" s="61"/>
      <c r="T318" s="62">
        <v>14</v>
      </c>
    </row>
    <row r="319" spans="1:20" x14ac:dyDescent="0.2">
      <c r="A319" s="62">
        <v>15</v>
      </c>
      <c r="B319" s="61"/>
      <c r="C319" s="64">
        <v>1.1155703077851538</v>
      </c>
      <c r="D319" s="64">
        <v>1.2745292368681858</v>
      </c>
      <c r="E319" s="64">
        <v>1.1839546191247965</v>
      </c>
      <c r="F319" s="64">
        <v>1.1220136518771331</v>
      </c>
      <c r="G319" s="61"/>
      <c r="H319" s="64">
        <v>1.0815677966101698</v>
      </c>
      <c r="I319" s="64">
        <v>1.2900150526843956</v>
      </c>
      <c r="J319" s="64">
        <v>1.4444444444444438</v>
      </c>
      <c r="K319" s="64">
        <v>1.1313432835820894</v>
      </c>
      <c r="L319" s="64">
        <v>1.1067538126361651</v>
      </c>
      <c r="M319" s="61"/>
      <c r="N319" s="64">
        <v>1.0716510903426788</v>
      </c>
      <c r="O319" s="64">
        <v>1.2725480532281921</v>
      </c>
      <c r="P319" s="64">
        <v>1.4457627118644065</v>
      </c>
      <c r="Q319" s="64">
        <v>1.4432071269487747</v>
      </c>
      <c r="R319" s="64">
        <v>1.1205128205128205</v>
      </c>
      <c r="S319" s="61"/>
      <c r="T319" s="62">
        <v>15</v>
      </c>
    </row>
    <row r="320" spans="1:20" x14ac:dyDescent="0.2">
      <c r="A320" s="62">
        <v>16</v>
      </c>
      <c r="B320" s="61"/>
      <c r="C320" s="64">
        <v>1.1188895594447794</v>
      </c>
      <c r="D320" s="64">
        <v>1.3032705649157577</v>
      </c>
      <c r="E320" s="64">
        <v>1.2017828200972438</v>
      </c>
      <c r="F320" s="64">
        <v>1.1305460750853242</v>
      </c>
      <c r="G320" s="61"/>
      <c r="H320" s="64">
        <v>1.0836864406779665</v>
      </c>
      <c r="I320" s="64">
        <v>1.3186151530356249</v>
      </c>
      <c r="J320" s="64">
        <v>1.4854700854700846</v>
      </c>
      <c r="K320" s="64">
        <v>1.1482587064676617</v>
      </c>
      <c r="L320" s="64">
        <v>1.1154684095860561</v>
      </c>
      <c r="M320" s="61"/>
      <c r="N320" s="64">
        <v>1.0768431983385249</v>
      </c>
      <c r="O320" s="64">
        <v>1.3006407097092174</v>
      </c>
      <c r="P320" s="64">
        <v>1.4864406779661015</v>
      </c>
      <c r="Q320" s="64">
        <v>1.4788418708240529</v>
      </c>
      <c r="R320" s="64">
        <v>1.1307692307692307</v>
      </c>
      <c r="S320" s="61"/>
      <c r="T320" s="62">
        <v>16</v>
      </c>
    </row>
    <row r="321" spans="1:20" x14ac:dyDescent="0.2">
      <c r="A321" s="62">
        <v>17</v>
      </c>
      <c r="B321" s="61"/>
      <c r="C321" s="64">
        <v>1.1255280627640312</v>
      </c>
      <c r="D321" s="64">
        <v>1.3315163528245784</v>
      </c>
      <c r="E321" s="64">
        <v>1.2196110210696911</v>
      </c>
      <c r="F321" s="64">
        <v>1.1412116040955633</v>
      </c>
      <c r="G321" s="61"/>
      <c r="H321" s="64">
        <v>1.0889830508474581</v>
      </c>
      <c r="I321" s="64">
        <v>1.3477170095333668</v>
      </c>
      <c r="J321" s="64">
        <v>1.5264957264957257</v>
      </c>
      <c r="K321" s="64">
        <v>1.1651741293532341</v>
      </c>
      <c r="L321" s="64">
        <v>1.1198257080610017</v>
      </c>
      <c r="M321" s="61"/>
      <c r="N321" s="64">
        <v>1.0856697819314638</v>
      </c>
      <c r="O321" s="64">
        <v>1.3292262198127165</v>
      </c>
      <c r="P321" s="64">
        <v>1.5271186440677964</v>
      </c>
      <c r="Q321" s="64">
        <v>1.5167037861915365</v>
      </c>
      <c r="R321" s="64">
        <v>1.1384615384615384</v>
      </c>
      <c r="S321" s="61"/>
      <c r="T321" s="62">
        <v>17</v>
      </c>
    </row>
    <row r="322" spans="1:20" x14ac:dyDescent="0.2">
      <c r="A322" s="62">
        <v>18</v>
      </c>
      <c r="B322" s="61"/>
      <c r="C322" s="64">
        <v>1.1330718165359079</v>
      </c>
      <c r="D322" s="64">
        <v>1.3617443012884038</v>
      </c>
      <c r="E322" s="64">
        <v>1.240680713128038</v>
      </c>
      <c r="F322" s="64">
        <v>1.1505972696245734</v>
      </c>
      <c r="G322" s="61"/>
      <c r="H322" s="64">
        <v>1.0963983050847461</v>
      </c>
      <c r="I322" s="64">
        <v>1.3793276467636728</v>
      </c>
      <c r="J322" s="64">
        <v>1.5658119658119651</v>
      </c>
      <c r="K322" s="64">
        <v>1.1840796019900499</v>
      </c>
      <c r="L322" s="64">
        <v>1.1285403050108926</v>
      </c>
      <c r="M322" s="61"/>
      <c r="N322" s="64">
        <v>1.0955347871235717</v>
      </c>
      <c r="O322" s="64">
        <v>1.3607688516510605</v>
      </c>
      <c r="P322" s="64">
        <v>1.5661016949152542</v>
      </c>
      <c r="Q322" s="64">
        <v>1.55456570155902</v>
      </c>
      <c r="R322" s="64">
        <v>1.1461538461538459</v>
      </c>
      <c r="S322" s="61"/>
      <c r="T322" s="62">
        <v>18</v>
      </c>
    </row>
    <row r="323" spans="1:20" x14ac:dyDescent="0.2">
      <c r="A323" s="62">
        <v>19</v>
      </c>
      <c r="B323" s="61"/>
      <c r="C323" s="64">
        <v>1.1394085697042846</v>
      </c>
      <c r="D323" s="64">
        <v>1.3929633300297317</v>
      </c>
      <c r="E323" s="64">
        <v>1.258508914100485</v>
      </c>
      <c r="F323" s="64">
        <v>1.1595563139931742</v>
      </c>
      <c r="G323" s="61"/>
      <c r="H323" s="64">
        <v>1.102401129943503</v>
      </c>
      <c r="I323" s="64">
        <v>1.410938283993979</v>
      </c>
      <c r="J323" s="64">
        <v>1.6094017094017083</v>
      </c>
      <c r="K323" s="64">
        <v>1.2000000000000002</v>
      </c>
      <c r="L323" s="64">
        <v>1.1328976034858382</v>
      </c>
      <c r="M323" s="61"/>
      <c r="N323" s="64">
        <v>1.1038421599169259</v>
      </c>
      <c r="O323" s="64">
        <v>1.3918186298669304</v>
      </c>
      <c r="P323" s="64">
        <v>1.6093220338983047</v>
      </c>
      <c r="Q323" s="64">
        <v>1.5924276169265033</v>
      </c>
      <c r="R323" s="64">
        <v>1.151282051282051</v>
      </c>
      <c r="S323" s="61"/>
      <c r="T323" s="62">
        <v>19</v>
      </c>
    </row>
    <row r="324" spans="1:20" x14ac:dyDescent="0.2">
      <c r="A324" s="62">
        <v>20</v>
      </c>
      <c r="B324" s="61"/>
      <c r="C324" s="64">
        <v>1.1457453228726611</v>
      </c>
      <c r="D324" s="64">
        <v>1.424677898909811</v>
      </c>
      <c r="E324" s="64">
        <v>1.273095623987033</v>
      </c>
      <c r="F324" s="64">
        <v>1.1689419795221843</v>
      </c>
      <c r="G324" s="61"/>
      <c r="H324" s="64">
        <v>1.1084039548022602</v>
      </c>
      <c r="I324" s="64">
        <v>1.4430506773707981</v>
      </c>
      <c r="J324" s="64">
        <v>1.6538461538461529</v>
      </c>
      <c r="K324" s="64">
        <v>1.2109452736318409</v>
      </c>
      <c r="L324" s="64">
        <v>1.1372549019607838</v>
      </c>
      <c r="M324" s="61"/>
      <c r="N324" s="64">
        <v>1.1126687435098646</v>
      </c>
      <c r="O324" s="64">
        <v>1.4238541153277484</v>
      </c>
      <c r="P324" s="64">
        <v>1.6542372881355929</v>
      </c>
      <c r="Q324" s="64">
        <v>1.619153674832962</v>
      </c>
      <c r="R324" s="64">
        <v>1.1564102564102561</v>
      </c>
      <c r="S324" s="61"/>
      <c r="T324" s="62">
        <v>20</v>
      </c>
    </row>
    <row r="325" spans="1:20" x14ac:dyDescent="0.2">
      <c r="A325" s="62">
        <v>21</v>
      </c>
      <c r="B325" s="61"/>
      <c r="C325" s="64">
        <v>1.1505733252866623</v>
      </c>
      <c r="D325" s="64">
        <v>1.4568880079286415</v>
      </c>
      <c r="E325" s="64">
        <v>1.2982171799027542</v>
      </c>
      <c r="F325" s="64">
        <v>1.177901023890785</v>
      </c>
      <c r="G325" s="61"/>
      <c r="H325" s="64">
        <v>1.1137005649717517</v>
      </c>
      <c r="I325" s="64">
        <v>1.4756648268941297</v>
      </c>
      <c r="J325" s="64">
        <v>1.699145299145298</v>
      </c>
      <c r="K325" s="64">
        <v>1.2348258706467663</v>
      </c>
      <c r="L325" s="64">
        <v>1.1437908496732021</v>
      </c>
      <c r="M325" s="61"/>
      <c r="N325" s="64">
        <v>1.1209761163032186</v>
      </c>
      <c r="O325" s="64">
        <v>1.4563824544110409</v>
      </c>
      <c r="P325" s="64">
        <v>1.6983050847457621</v>
      </c>
      <c r="Q325" s="64">
        <v>1.6547884187082404</v>
      </c>
      <c r="R325" s="64">
        <v>1.1641025641025637</v>
      </c>
      <c r="S325" s="61"/>
      <c r="T325" s="62">
        <v>21</v>
      </c>
    </row>
    <row r="326" spans="1:20" x14ac:dyDescent="0.2">
      <c r="A326" s="62">
        <v>22</v>
      </c>
      <c r="B326" s="61"/>
      <c r="C326" s="64">
        <v>1.156910078455039</v>
      </c>
      <c r="D326" s="64">
        <v>1.4905847373637258</v>
      </c>
      <c r="E326" s="64">
        <v>1.331442463533224</v>
      </c>
      <c r="F326" s="64">
        <v>1.1864334470989761</v>
      </c>
      <c r="G326" s="61"/>
      <c r="H326" s="64">
        <v>1.1204096045197744</v>
      </c>
      <c r="I326" s="64">
        <v>1.5102860010035124</v>
      </c>
      <c r="J326" s="64">
        <v>1.7435897435897425</v>
      </c>
      <c r="K326" s="64">
        <v>1.2666666666666668</v>
      </c>
      <c r="L326" s="64">
        <v>1.154684095860566</v>
      </c>
      <c r="M326" s="61"/>
      <c r="N326" s="64">
        <v>1.1313603322949111</v>
      </c>
      <c r="O326" s="64">
        <v>1.4898965007392815</v>
      </c>
      <c r="P326" s="64">
        <v>1.7432203389830505</v>
      </c>
      <c r="Q326" s="64">
        <v>1.6926503340757237</v>
      </c>
      <c r="R326" s="64">
        <v>1.1743589743589742</v>
      </c>
      <c r="S326" s="61"/>
      <c r="T326" s="62">
        <v>22</v>
      </c>
    </row>
    <row r="327" spans="1:20" x14ac:dyDescent="0.2">
      <c r="A327" s="62">
        <v>23</v>
      </c>
      <c r="B327" s="61"/>
      <c r="C327" s="64">
        <v>1.1677730838865417</v>
      </c>
      <c r="D327" s="64">
        <v>1.5267591674925662</v>
      </c>
      <c r="E327" s="64">
        <v>1.3654781199351691</v>
      </c>
      <c r="F327" s="64">
        <v>1.1953924914675766</v>
      </c>
      <c r="G327" s="61"/>
      <c r="H327" s="64">
        <v>1.1317090395480229</v>
      </c>
      <c r="I327" s="64">
        <v>1.5474159558454592</v>
      </c>
      <c r="J327" s="64">
        <v>1.7914529914529906</v>
      </c>
      <c r="K327" s="64">
        <v>1.2975124378109453</v>
      </c>
      <c r="L327" s="64">
        <v>1.1655773420479296</v>
      </c>
      <c r="M327" s="61"/>
      <c r="N327" s="64">
        <v>1.1453790238836961</v>
      </c>
      <c r="O327" s="64">
        <v>1.5268605224248408</v>
      </c>
      <c r="P327" s="64">
        <v>1.7906779661016945</v>
      </c>
      <c r="Q327" s="64">
        <v>1.730512249443207</v>
      </c>
      <c r="R327" s="64">
        <v>1.1846153846153844</v>
      </c>
      <c r="S327" s="61"/>
      <c r="T327" s="62">
        <v>23</v>
      </c>
    </row>
    <row r="328" spans="1:20" x14ac:dyDescent="0.2">
      <c r="A328" s="62">
        <v>24</v>
      </c>
      <c r="B328" s="61"/>
      <c r="C328" s="64">
        <v>1.1804465902232948</v>
      </c>
      <c r="D328" s="64">
        <v>1.5629335976214065</v>
      </c>
      <c r="E328" s="64">
        <v>1.4019448946515385</v>
      </c>
      <c r="F328" s="64">
        <v>1.2069112627986347</v>
      </c>
      <c r="G328" s="61"/>
      <c r="H328" s="64">
        <v>1.1458333333333339</v>
      </c>
      <c r="I328" s="64">
        <v>1.5840441545408932</v>
      </c>
      <c r="J328" s="64">
        <v>1.865811965811965</v>
      </c>
      <c r="K328" s="64">
        <v>1.3323383084577116</v>
      </c>
      <c r="L328" s="64">
        <v>1.1764705882352935</v>
      </c>
      <c r="M328" s="61"/>
      <c r="N328" s="64">
        <v>1.1635514018691582</v>
      </c>
      <c r="O328" s="64">
        <v>1.563331690487926</v>
      </c>
      <c r="P328" s="64">
        <v>1.8635593220338977</v>
      </c>
      <c r="Q328" s="64">
        <v>1.7951002227171495</v>
      </c>
      <c r="R328" s="64">
        <v>1.1948717948717946</v>
      </c>
      <c r="S328" s="61"/>
      <c r="T328" s="62">
        <v>24</v>
      </c>
    </row>
    <row r="329" spans="1:20" x14ac:dyDescent="0.2">
      <c r="A329" s="62">
        <v>25</v>
      </c>
      <c r="B329" s="61"/>
      <c r="C329" s="64">
        <v>1.197344598672299</v>
      </c>
      <c r="D329" s="64">
        <v>1.5976214073339932</v>
      </c>
      <c r="E329" s="64">
        <v>1.4521880064829811</v>
      </c>
      <c r="F329" s="64">
        <v>1.2192832764505119</v>
      </c>
      <c r="G329" s="61"/>
      <c r="H329" s="64">
        <v>1.1634887005649723</v>
      </c>
      <c r="I329" s="64">
        <v>1.6191670847967889</v>
      </c>
      <c r="J329" s="64">
        <v>1.9598290598290593</v>
      </c>
      <c r="K329" s="64">
        <v>1.3870646766169155</v>
      </c>
      <c r="L329" s="64">
        <v>1.1851851851851845</v>
      </c>
      <c r="M329" s="61"/>
      <c r="N329" s="64">
        <v>1.184839044652128</v>
      </c>
      <c r="O329" s="64">
        <v>1.5978314440611148</v>
      </c>
      <c r="P329" s="64">
        <v>1.9567796610169488</v>
      </c>
      <c r="Q329" s="64">
        <v>1.8997772828507795</v>
      </c>
      <c r="R329" s="64">
        <v>1.2051282051282048</v>
      </c>
      <c r="S329" s="61"/>
      <c r="T329" s="62">
        <v>25</v>
      </c>
    </row>
    <row r="330" spans="1:20" x14ac:dyDescent="0.2">
      <c r="A330" s="62">
        <v>26</v>
      </c>
      <c r="B330" s="61"/>
      <c r="C330" s="64">
        <v>1.2073023536511764</v>
      </c>
      <c r="D330" s="64">
        <v>1.6323092170465796</v>
      </c>
      <c r="E330" s="64">
        <v>1.4756888168557523</v>
      </c>
      <c r="F330" s="64">
        <v>1.2290955631399318</v>
      </c>
      <c r="G330" s="61"/>
      <c r="H330" s="64">
        <v>1.1737288135593225</v>
      </c>
      <c r="I330" s="64">
        <v>1.6542900150526842</v>
      </c>
      <c r="J330" s="64">
        <v>2.0299145299145294</v>
      </c>
      <c r="K330" s="64">
        <v>1.4139303482587067</v>
      </c>
      <c r="L330" s="64">
        <v>1.1938997821350754</v>
      </c>
      <c r="M330" s="61"/>
      <c r="N330" s="64">
        <v>1.1983385254413284</v>
      </c>
      <c r="O330" s="64">
        <v>1.6323311976343036</v>
      </c>
      <c r="P330" s="64">
        <v>2.0262711864406775</v>
      </c>
      <c r="Q330" s="64">
        <v>1.9532293986636973</v>
      </c>
      <c r="R330" s="64">
        <v>1.2128205128205125</v>
      </c>
      <c r="S330" s="61"/>
      <c r="T330" s="62">
        <v>26</v>
      </c>
    </row>
    <row r="331" spans="1:20" x14ac:dyDescent="0.2">
      <c r="A331" s="62">
        <v>27</v>
      </c>
      <c r="B331" s="61"/>
      <c r="C331" s="64">
        <v>1.2145443572721784</v>
      </c>
      <c r="D331" s="64">
        <v>1.6669970267591667</v>
      </c>
      <c r="E331" s="64">
        <v>1.4886547811993502</v>
      </c>
      <c r="F331" s="64">
        <v>1.237627986348123</v>
      </c>
      <c r="G331" s="61"/>
      <c r="H331" s="64">
        <v>1.1807909604519775</v>
      </c>
      <c r="I331" s="64">
        <v>1.6899147014550928</v>
      </c>
      <c r="J331" s="64">
        <v>2.089743589743589</v>
      </c>
      <c r="K331" s="64">
        <v>1.4288557213930348</v>
      </c>
      <c r="L331" s="64">
        <v>1.2004357298474935</v>
      </c>
      <c r="M331" s="61"/>
      <c r="N331" s="64">
        <v>1.2092419522326057</v>
      </c>
      <c r="O331" s="64">
        <v>1.6673238048299666</v>
      </c>
      <c r="P331" s="64">
        <v>2.0855932203389829</v>
      </c>
      <c r="Q331" s="64">
        <v>1.9866369710467708</v>
      </c>
      <c r="R331" s="64">
        <v>1.2230769230769225</v>
      </c>
      <c r="S331" s="61"/>
      <c r="T331" s="62">
        <v>27</v>
      </c>
    </row>
    <row r="332" spans="1:20" x14ac:dyDescent="0.2">
      <c r="A332" s="62">
        <v>28</v>
      </c>
      <c r="B332" s="61"/>
      <c r="C332" s="64">
        <v>1.2220881110440551</v>
      </c>
      <c r="D332" s="64">
        <v>1.703171456888007</v>
      </c>
      <c r="E332" s="64">
        <v>1.5008103727714732</v>
      </c>
      <c r="F332" s="64">
        <v>1.2461604095563141</v>
      </c>
      <c r="G332" s="61"/>
      <c r="H332" s="64">
        <v>1.187853107344633</v>
      </c>
      <c r="I332" s="64">
        <v>1.7265429001505268</v>
      </c>
      <c r="J332" s="64">
        <v>2.1521367521367512</v>
      </c>
      <c r="K332" s="64">
        <v>1.4447761194029851</v>
      </c>
      <c r="L332" s="64">
        <v>1.206971677559912</v>
      </c>
      <c r="M332" s="61"/>
      <c r="N332" s="64">
        <v>1.2196261682242981</v>
      </c>
      <c r="O332" s="64">
        <v>1.703302119270578</v>
      </c>
      <c r="P332" s="64">
        <v>2.1474576271186439</v>
      </c>
      <c r="Q332" s="64">
        <v>2.0222717149220495</v>
      </c>
      <c r="R332" s="64">
        <v>1.2307692307692302</v>
      </c>
      <c r="S332" s="61"/>
      <c r="T332" s="62">
        <v>28</v>
      </c>
    </row>
    <row r="333" spans="1:20" x14ac:dyDescent="0.2">
      <c r="A333" s="62">
        <v>29</v>
      </c>
      <c r="B333" s="61"/>
      <c r="C333" s="64">
        <v>1.2293301146650568</v>
      </c>
      <c r="D333" s="64">
        <v>1.7398414271555989</v>
      </c>
      <c r="E333" s="64">
        <v>1.5137763371150714</v>
      </c>
      <c r="F333" s="64">
        <v>1.2551194539249149</v>
      </c>
      <c r="G333" s="61"/>
      <c r="H333" s="64">
        <v>1.1952683615819213</v>
      </c>
      <c r="I333" s="64">
        <v>1.7636728549924736</v>
      </c>
      <c r="J333" s="64">
        <v>2.2153846153846146</v>
      </c>
      <c r="K333" s="64">
        <v>1.4606965174129356</v>
      </c>
      <c r="L333" s="64">
        <v>1.2156862745098032</v>
      </c>
      <c r="M333" s="61"/>
      <c r="N333" s="64">
        <v>1.2305295950155755</v>
      </c>
      <c r="O333" s="64">
        <v>1.7397732873336631</v>
      </c>
      <c r="P333" s="64">
        <v>2.2101694915254231</v>
      </c>
      <c r="Q333" s="64">
        <v>2.0579064587973277</v>
      </c>
      <c r="R333" s="64">
        <v>1.2384615384615381</v>
      </c>
      <c r="S333" s="61"/>
      <c r="T333" s="62">
        <v>29</v>
      </c>
    </row>
    <row r="334" spans="1:20" x14ac:dyDescent="0.2">
      <c r="A334" s="62">
        <v>30</v>
      </c>
      <c r="B334" s="61"/>
      <c r="C334" s="64">
        <v>1.2368738684369336</v>
      </c>
      <c r="D334" s="64">
        <v>1.7779980178394443</v>
      </c>
      <c r="E334" s="64">
        <v>1.5275526742301446</v>
      </c>
      <c r="F334" s="64">
        <v>1.263651877133106</v>
      </c>
      <c r="G334" s="61"/>
      <c r="H334" s="64">
        <v>1.2023305084745766</v>
      </c>
      <c r="I334" s="64">
        <v>1.8023080782739589</v>
      </c>
      <c r="J334" s="64">
        <v>2.2811965811965802</v>
      </c>
      <c r="K334" s="64">
        <v>1.477611940298508</v>
      </c>
      <c r="L334" s="64">
        <v>1.2222222222222214</v>
      </c>
      <c r="M334" s="61"/>
      <c r="N334" s="64">
        <v>1.2409138110072679</v>
      </c>
      <c r="O334" s="64">
        <v>1.7777230162641711</v>
      </c>
      <c r="P334" s="64">
        <v>2.2754237288135588</v>
      </c>
      <c r="Q334" s="64">
        <v>2.0935412026726063</v>
      </c>
      <c r="R334" s="64">
        <v>1.2487179487179483</v>
      </c>
      <c r="S334" s="61"/>
      <c r="T334" s="62">
        <v>30</v>
      </c>
    </row>
    <row r="335" spans="1:20" x14ac:dyDescent="0.2">
      <c r="A335" s="62"/>
      <c r="B335" s="61"/>
      <c r="C335" s="65"/>
      <c r="D335" s="65"/>
      <c r="E335" s="65"/>
      <c r="F335" s="65"/>
      <c r="G335" s="61"/>
      <c r="H335" s="65"/>
      <c r="I335" s="65"/>
      <c r="J335" s="65"/>
      <c r="K335" s="65"/>
      <c r="L335" s="65"/>
      <c r="M335" s="61"/>
      <c r="N335" s="65"/>
      <c r="O335" s="65"/>
      <c r="P335" s="65"/>
      <c r="Q335" s="65"/>
      <c r="R335" s="65"/>
      <c r="S335" s="61"/>
      <c r="T335" s="62"/>
    </row>
    <row r="336" spans="1:20" ht="15.75" x14ac:dyDescent="0.25">
      <c r="A336" s="58" t="s">
        <v>250</v>
      </c>
      <c r="B336" s="59"/>
      <c r="C336" s="59"/>
      <c r="D336" s="59"/>
      <c r="E336" s="59"/>
      <c r="F336" s="59"/>
      <c r="G336" s="59"/>
      <c r="H336" s="59"/>
      <c r="I336" s="59"/>
      <c r="J336" s="59"/>
      <c r="K336" s="59"/>
      <c r="L336" s="59"/>
      <c r="M336" s="59"/>
      <c r="N336" s="59"/>
      <c r="O336" s="59"/>
      <c r="P336" s="59"/>
      <c r="Q336" s="59"/>
      <c r="R336" s="59"/>
      <c r="S336" s="59"/>
      <c r="T336" s="58"/>
    </row>
    <row r="337" spans="1:20" ht="15.75" x14ac:dyDescent="0.25">
      <c r="A337" s="58" t="s">
        <v>118</v>
      </c>
      <c r="B337" s="59"/>
      <c r="C337" s="59"/>
      <c r="D337" s="59"/>
      <c r="E337" s="59"/>
      <c r="F337" s="59"/>
      <c r="G337" s="59"/>
      <c r="H337" s="59"/>
      <c r="I337" s="59"/>
      <c r="J337" s="59"/>
      <c r="K337" s="59"/>
      <c r="L337" s="59"/>
      <c r="M337" s="59"/>
      <c r="N337" s="59"/>
      <c r="O337" s="59"/>
      <c r="P337" s="59"/>
      <c r="Q337" s="59"/>
      <c r="R337" s="59"/>
      <c r="S337" s="59"/>
      <c r="T337" s="58"/>
    </row>
    <row r="338" spans="1:20" ht="15.75" x14ac:dyDescent="0.25">
      <c r="A338" s="58" t="s">
        <v>251</v>
      </c>
      <c r="B338" s="59"/>
      <c r="C338" s="59"/>
      <c r="D338" s="59"/>
      <c r="E338" s="59"/>
      <c r="F338" s="59"/>
      <c r="G338" s="59"/>
      <c r="H338" s="59"/>
      <c r="I338" s="59"/>
      <c r="J338" s="59"/>
      <c r="K338" s="59"/>
      <c r="L338" s="59"/>
      <c r="M338" s="59"/>
      <c r="N338" s="59"/>
      <c r="O338" s="59"/>
      <c r="P338" s="59"/>
      <c r="Q338" s="59"/>
      <c r="R338" s="59"/>
      <c r="S338" s="59"/>
      <c r="T338" s="59"/>
    </row>
    <row r="339" spans="1:20" ht="7.5" customHeight="1" x14ac:dyDescent="0.25">
      <c r="A339" s="60"/>
      <c r="B339" s="61"/>
      <c r="C339" s="61"/>
      <c r="D339" s="62"/>
      <c r="E339" s="62"/>
      <c r="F339" s="62"/>
      <c r="G339" s="61"/>
      <c r="H339" s="61"/>
      <c r="I339" s="61"/>
      <c r="J339" s="61"/>
      <c r="K339" s="61"/>
      <c r="L339" s="61"/>
      <c r="M339" s="61"/>
      <c r="N339" s="61"/>
      <c r="O339" s="61"/>
      <c r="P339" s="61"/>
      <c r="Q339" s="61"/>
      <c r="R339" s="61"/>
      <c r="S339" s="61"/>
      <c r="T339" s="61"/>
    </row>
    <row r="340" spans="1:20" x14ac:dyDescent="0.2">
      <c r="A340" s="62"/>
      <c r="B340" s="61"/>
      <c r="C340" s="63" t="s">
        <v>122</v>
      </c>
      <c r="D340" s="63"/>
      <c r="E340" s="63"/>
      <c r="F340" s="63"/>
      <c r="G340" s="61"/>
      <c r="H340" s="63" t="s">
        <v>123</v>
      </c>
      <c r="I340" s="63"/>
      <c r="J340" s="63"/>
      <c r="K340" s="63"/>
      <c r="L340" s="59"/>
      <c r="M340" s="61"/>
      <c r="N340" s="63" t="s">
        <v>124</v>
      </c>
      <c r="O340" s="63"/>
      <c r="P340" s="63"/>
      <c r="Q340" s="63"/>
      <c r="R340" s="59"/>
      <c r="S340" s="61"/>
      <c r="T340" s="62"/>
    </row>
    <row r="341" spans="1:20" x14ac:dyDescent="0.2">
      <c r="A341" s="62" t="s">
        <v>41</v>
      </c>
      <c r="B341" s="61"/>
      <c r="C341" s="62" t="s">
        <v>32</v>
      </c>
      <c r="D341" s="62" t="s">
        <v>125</v>
      </c>
      <c r="E341" s="62" t="s">
        <v>33</v>
      </c>
      <c r="F341" s="62" t="s">
        <v>126</v>
      </c>
      <c r="G341" s="62"/>
      <c r="H341" s="62" t="s">
        <v>32</v>
      </c>
      <c r="I341" s="62" t="s">
        <v>125</v>
      </c>
      <c r="J341" s="62" t="s">
        <v>127</v>
      </c>
      <c r="K341" s="62" t="s">
        <v>33</v>
      </c>
      <c r="L341" s="62" t="s">
        <v>128</v>
      </c>
      <c r="M341" s="62"/>
      <c r="N341" s="62" t="s">
        <v>32</v>
      </c>
      <c r="O341" s="62" t="s">
        <v>125</v>
      </c>
      <c r="P341" s="62" t="s">
        <v>127</v>
      </c>
      <c r="Q341" s="62" t="s">
        <v>33</v>
      </c>
      <c r="R341" s="62" t="s">
        <v>128</v>
      </c>
      <c r="S341" s="61"/>
      <c r="T341" s="62" t="s">
        <v>41</v>
      </c>
    </row>
    <row r="342" spans="1:20" x14ac:dyDescent="0.2">
      <c r="A342" s="62">
        <v>1</v>
      </c>
      <c r="B342" s="61"/>
      <c r="C342" s="64">
        <v>1.0334751773049646</v>
      </c>
      <c r="D342" s="64">
        <v>0.98408104196816204</v>
      </c>
      <c r="E342" s="64">
        <v>0.97094657919400185</v>
      </c>
      <c r="F342" s="64">
        <v>1.0102816271792578</v>
      </c>
      <c r="G342" s="61"/>
      <c r="H342" s="64">
        <v>1.0277865487843383</v>
      </c>
      <c r="I342" s="64">
        <v>0.9832347140039448</v>
      </c>
      <c r="J342" s="64">
        <v>1.0081716036772217</v>
      </c>
      <c r="K342" s="64">
        <v>1.0123873873873874</v>
      </c>
      <c r="L342" s="64">
        <v>1.0224438902743143</v>
      </c>
      <c r="M342" s="61"/>
      <c r="N342" s="64">
        <v>1.0196656833824975</v>
      </c>
      <c r="O342" s="64">
        <v>0.98378378378378373</v>
      </c>
      <c r="P342" s="64">
        <v>1.0092592592592593</v>
      </c>
      <c r="Q342" s="64">
        <v>0.98839458413926506</v>
      </c>
      <c r="R342" s="64">
        <v>1.0278745644599303</v>
      </c>
      <c r="S342" s="61"/>
      <c r="T342" s="62">
        <v>1</v>
      </c>
    </row>
    <row r="343" spans="1:20" x14ac:dyDescent="0.2">
      <c r="A343" s="62">
        <v>2</v>
      </c>
      <c r="B343" s="61"/>
      <c r="C343" s="64">
        <v>1.0516312056737589</v>
      </c>
      <c r="D343" s="64">
        <v>1.0038591413410516</v>
      </c>
      <c r="E343" s="64">
        <v>0.97000937207122773</v>
      </c>
      <c r="F343" s="64">
        <v>1.0384443451050511</v>
      </c>
      <c r="G343" s="61"/>
      <c r="H343" s="64">
        <v>1.0419955794126932</v>
      </c>
      <c r="I343" s="64">
        <v>1.0251479289940828</v>
      </c>
      <c r="J343" s="64">
        <v>1.105209397344229</v>
      </c>
      <c r="K343" s="64">
        <v>1.0135135135135136</v>
      </c>
      <c r="L343" s="64">
        <v>1.0399002493765586</v>
      </c>
      <c r="M343" s="61"/>
      <c r="N343" s="64">
        <v>1.0231071779744345</v>
      </c>
      <c r="O343" s="64">
        <v>0.99508599508599505</v>
      </c>
      <c r="P343" s="64">
        <v>1.1069958847736625</v>
      </c>
      <c r="Q343" s="64">
        <v>1.0406189555125724</v>
      </c>
      <c r="R343" s="64">
        <v>1.034843205574913</v>
      </c>
      <c r="S343" s="61"/>
      <c r="T343" s="62">
        <v>2</v>
      </c>
    </row>
    <row r="344" spans="1:20" x14ac:dyDescent="0.2">
      <c r="A344" s="62">
        <v>3</v>
      </c>
      <c r="B344" s="61"/>
      <c r="C344" s="64">
        <v>1.0442553191489363</v>
      </c>
      <c r="D344" s="64">
        <v>1.0043415340086832</v>
      </c>
      <c r="E344" s="64">
        <v>0.9821930646672915</v>
      </c>
      <c r="F344" s="64">
        <v>1.048725972284309</v>
      </c>
      <c r="G344" s="61"/>
      <c r="H344" s="64">
        <v>1.030944111146195</v>
      </c>
      <c r="I344" s="64">
        <v>1.0340236686390532</v>
      </c>
      <c r="J344" s="64">
        <v>1.1256384065372831</v>
      </c>
      <c r="K344" s="64">
        <v>1.0123873873873874</v>
      </c>
      <c r="L344" s="64">
        <v>1.0473815461346632</v>
      </c>
      <c r="M344" s="61"/>
      <c r="N344" s="64">
        <v>1.0103244837758112</v>
      </c>
      <c r="O344" s="64">
        <v>0.99508599508599505</v>
      </c>
      <c r="P344" s="64">
        <v>1.1275720164609055</v>
      </c>
      <c r="Q344" s="64">
        <v>1.1025145067698259</v>
      </c>
      <c r="R344" s="64">
        <v>1.0313588850174216</v>
      </c>
      <c r="S344" s="61"/>
      <c r="T344" s="62">
        <v>3</v>
      </c>
    </row>
    <row r="345" spans="1:20" x14ac:dyDescent="0.2">
      <c r="A345" s="62">
        <v>4</v>
      </c>
      <c r="B345" s="61"/>
      <c r="C345" s="64">
        <v>1.0397163120567376</v>
      </c>
      <c r="D345" s="64">
        <v>1.015918958031838</v>
      </c>
      <c r="E345" s="64">
        <v>1.0178069353327084</v>
      </c>
      <c r="F345" s="64">
        <v>1.05677246312025</v>
      </c>
      <c r="G345" s="61"/>
      <c r="H345" s="64">
        <v>1.0227344490053678</v>
      </c>
      <c r="I345" s="64">
        <v>1.0468441814595659</v>
      </c>
      <c r="J345" s="64">
        <v>1.1460674157303374</v>
      </c>
      <c r="K345" s="64">
        <v>1.0495495495495495</v>
      </c>
      <c r="L345" s="64">
        <v>1.0548628428927678</v>
      </c>
      <c r="M345" s="61"/>
      <c r="N345" s="64">
        <v>1.006882989183874</v>
      </c>
      <c r="O345" s="64">
        <v>1.0073710073710074</v>
      </c>
      <c r="P345" s="64">
        <v>1.1481481481481484</v>
      </c>
      <c r="Q345" s="64">
        <v>1.1721470019342359</v>
      </c>
      <c r="R345" s="64">
        <v>1.034843205574913</v>
      </c>
      <c r="S345" s="61"/>
      <c r="T345" s="62">
        <v>4</v>
      </c>
    </row>
    <row r="346" spans="1:20" x14ac:dyDescent="0.2">
      <c r="A346" s="62">
        <v>5</v>
      </c>
      <c r="B346" s="61"/>
      <c r="C346" s="64">
        <v>1.0456737588652483</v>
      </c>
      <c r="D346" s="64">
        <v>1.0303907380607815</v>
      </c>
      <c r="E346" s="64">
        <v>1.0618556701030928</v>
      </c>
      <c r="F346" s="64">
        <v>1.0616897630755473</v>
      </c>
      <c r="G346" s="61"/>
      <c r="H346" s="64">
        <v>1.0233659614777391</v>
      </c>
      <c r="I346" s="64">
        <v>1.0621301775147927</v>
      </c>
      <c r="J346" s="64">
        <v>1.1726251276813078</v>
      </c>
      <c r="K346" s="64">
        <v>1.099099099099099</v>
      </c>
      <c r="L346" s="64">
        <v>1.0623441396508724</v>
      </c>
      <c r="M346" s="61"/>
      <c r="N346" s="64">
        <v>1.0108161258603734</v>
      </c>
      <c r="O346" s="64">
        <v>1.0235872235872236</v>
      </c>
      <c r="P346" s="64">
        <v>1.174897119341564</v>
      </c>
      <c r="Q346" s="64">
        <v>1.241779497098646</v>
      </c>
      <c r="R346" s="64">
        <v>1.0452961672473868</v>
      </c>
      <c r="S346" s="61"/>
      <c r="T346" s="62">
        <v>5</v>
      </c>
    </row>
    <row r="347" spans="1:20" x14ac:dyDescent="0.2">
      <c r="A347" s="62">
        <v>6</v>
      </c>
      <c r="B347" s="61"/>
      <c r="C347" s="64">
        <v>1.0539007092198582</v>
      </c>
      <c r="D347" s="64">
        <v>1.0477568740955137</v>
      </c>
      <c r="E347" s="64">
        <v>1.0965323336457355</v>
      </c>
      <c r="F347" s="64">
        <v>1.0661600357621812</v>
      </c>
      <c r="G347" s="61"/>
      <c r="H347" s="64">
        <v>1.027155036311967</v>
      </c>
      <c r="I347" s="64">
        <v>1.0808678500986193</v>
      </c>
      <c r="J347" s="64">
        <v>1.2053115423901943</v>
      </c>
      <c r="K347" s="64">
        <v>1.1385135135135132</v>
      </c>
      <c r="L347" s="64">
        <v>1.0723192019950119</v>
      </c>
      <c r="M347" s="61"/>
      <c r="N347" s="64">
        <v>1.0181907571288102</v>
      </c>
      <c r="O347" s="64">
        <v>1.0422604422604425</v>
      </c>
      <c r="P347" s="64">
        <v>1.2078189300411526</v>
      </c>
      <c r="Q347" s="64">
        <v>1.2959381044487428</v>
      </c>
      <c r="R347" s="64">
        <v>1.0592334494773521</v>
      </c>
      <c r="S347" s="61"/>
      <c r="T347" s="62">
        <v>6</v>
      </c>
    </row>
    <row r="348" spans="1:20" x14ac:dyDescent="0.2">
      <c r="A348" s="62">
        <v>7</v>
      </c>
      <c r="B348" s="61"/>
      <c r="C348" s="64">
        <v>1.0595744680851065</v>
      </c>
      <c r="D348" s="64">
        <v>1.0675349734684032</v>
      </c>
      <c r="E348" s="64">
        <v>1.1171508903467666</v>
      </c>
      <c r="F348" s="64">
        <v>1.0710773357174783</v>
      </c>
      <c r="G348" s="61"/>
      <c r="H348" s="64">
        <v>1.0290495737290812</v>
      </c>
      <c r="I348" s="64">
        <v>1.1040433925049309</v>
      </c>
      <c r="J348" s="64">
        <v>1.2400408580183861</v>
      </c>
      <c r="K348" s="64">
        <v>1.1621621621621621</v>
      </c>
      <c r="L348" s="64">
        <v>1.0822942643391515</v>
      </c>
      <c r="M348" s="61"/>
      <c r="N348" s="64">
        <v>1.0226155358898723</v>
      </c>
      <c r="O348" s="64">
        <v>1.0678132678132679</v>
      </c>
      <c r="P348" s="64">
        <v>1.2427983539094654</v>
      </c>
      <c r="Q348" s="64">
        <v>1.3288201160541588</v>
      </c>
      <c r="R348" s="64">
        <v>1.0696864111498259</v>
      </c>
      <c r="S348" s="61"/>
      <c r="T348" s="62">
        <v>7</v>
      </c>
    </row>
    <row r="349" spans="1:20" x14ac:dyDescent="0.2">
      <c r="A349" s="62">
        <v>8</v>
      </c>
      <c r="B349" s="61"/>
      <c r="C349" s="64">
        <v>1.0609929078014186</v>
      </c>
      <c r="D349" s="64">
        <v>1.0882778581765555</v>
      </c>
      <c r="E349" s="64">
        <v>1.134020618556701</v>
      </c>
      <c r="F349" s="64">
        <v>1.0777827447474291</v>
      </c>
      <c r="G349" s="61"/>
      <c r="H349" s="64">
        <v>1.0268392800757815</v>
      </c>
      <c r="I349" s="64">
        <v>1.1262327416173568</v>
      </c>
      <c r="J349" s="64">
        <v>1.2768130745658834</v>
      </c>
      <c r="K349" s="64">
        <v>1.1824324324324325</v>
      </c>
      <c r="L349" s="64">
        <v>1.0922693266832912</v>
      </c>
      <c r="M349" s="61"/>
      <c r="N349" s="64">
        <v>1.0255653883972469</v>
      </c>
      <c r="O349" s="64">
        <v>1.0909090909090908</v>
      </c>
      <c r="P349" s="64">
        <v>1.2798353909465026</v>
      </c>
      <c r="Q349" s="64">
        <v>1.353965183752418</v>
      </c>
      <c r="R349" s="64">
        <v>1.0836236933797911</v>
      </c>
      <c r="S349" s="61"/>
      <c r="T349" s="62">
        <v>8</v>
      </c>
    </row>
    <row r="350" spans="1:20" x14ac:dyDescent="0.2">
      <c r="A350" s="62">
        <v>9</v>
      </c>
      <c r="B350" s="61"/>
      <c r="C350" s="64">
        <v>1.0624113475177308</v>
      </c>
      <c r="D350" s="64">
        <v>1.1095031355523397</v>
      </c>
      <c r="E350" s="64">
        <v>1.1452671040299907</v>
      </c>
      <c r="F350" s="64">
        <v>1.0840411265087164</v>
      </c>
      <c r="G350" s="61"/>
      <c r="H350" s="64">
        <v>1.0243132301862961</v>
      </c>
      <c r="I350" s="64">
        <v>1.1484220907297826</v>
      </c>
      <c r="J350" s="64">
        <v>1.3146067415730334</v>
      </c>
      <c r="K350" s="64">
        <v>1.1948198198198199</v>
      </c>
      <c r="L350" s="64">
        <v>1.1072319201995007</v>
      </c>
      <c r="M350" s="61"/>
      <c r="N350" s="64">
        <v>1.0265486725663717</v>
      </c>
      <c r="O350" s="64">
        <v>1.1130221130221127</v>
      </c>
      <c r="P350" s="64">
        <v>1.3179012345679018</v>
      </c>
      <c r="Q350" s="64">
        <v>1.3713733075435206</v>
      </c>
      <c r="R350" s="64">
        <v>1.0975609756097564</v>
      </c>
      <c r="S350" s="61"/>
      <c r="T350" s="62">
        <v>9</v>
      </c>
    </row>
    <row r="351" spans="1:20" x14ac:dyDescent="0.2">
      <c r="A351" s="62">
        <v>10</v>
      </c>
      <c r="B351" s="61"/>
      <c r="C351" s="64">
        <v>1.068652482269504</v>
      </c>
      <c r="D351" s="64">
        <v>1.1316931982633864</v>
      </c>
      <c r="E351" s="64">
        <v>1.1649484536082473</v>
      </c>
      <c r="F351" s="64">
        <v>1.0898524810013406</v>
      </c>
      <c r="G351" s="61"/>
      <c r="H351" s="64">
        <v>1.0265235238395958</v>
      </c>
      <c r="I351" s="64">
        <v>1.1715976331360944</v>
      </c>
      <c r="J351" s="64">
        <v>1.3524004085801837</v>
      </c>
      <c r="K351" s="64">
        <v>1.2150900900900903</v>
      </c>
      <c r="L351" s="64">
        <v>1.1147132169576053</v>
      </c>
      <c r="M351" s="61"/>
      <c r="N351" s="64">
        <v>1.0344149459193708</v>
      </c>
      <c r="O351" s="64">
        <v>1.1371007371007369</v>
      </c>
      <c r="P351" s="64">
        <v>1.355967078189301</v>
      </c>
      <c r="Q351" s="64">
        <v>1.4042553191489364</v>
      </c>
      <c r="R351" s="64">
        <v>1.1010452961672477</v>
      </c>
      <c r="S351" s="61"/>
      <c r="T351" s="62">
        <v>10</v>
      </c>
    </row>
    <row r="352" spans="1:20" x14ac:dyDescent="0.2">
      <c r="A352" s="62">
        <v>11</v>
      </c>
      <c r="B352" s="61"/>
      <c r="C352" s="64">
        <v>1.0743262411347523</v>
      </c>
      <c r="D352" s="64">
        <v>1.1558128316449592</v>
      </c>
      <c r="E352" s="64">
        <v>1.1874414245548266</v>
      </c>
      <c r="F352" s="64">
        <v>1.0974519445686182</v>
      </c>
      <c r="G352" s="61"/>
      <c r="H352" s="64">
        <v>1.0306283549100095</v>
      </c>
      <c r="I352" s="64">
        <v>1.1957593688362915</v>
      </c>
      <c r="J352" s="64">
        <v>1.3942798774259446</v>
      </c>
      <c r="K352" s="64">
        <v>1.2409909909909913</v>
      </c>
      <c r="L352" s="64">
        <v>1.1197007481296752</v>
      </c>
      <c r="M352" s="61"/>
      <c r="N352" s="64">
        <v>1.0412979351032448</v>
      </c>
      <c r="O352" s="64">
        <v>1.1611793611793608</v>
      </c>
      <c r="P352" s="64">
        <v>1.3971193415637866</v>
      </c>
      <c r="Q352" s="64">
        <v>1.4410058027079307</v>
      </c>
      <c r="R352" s="64">
        <v>1.1045296167247389</v>
      </c>
      <c r="S352" s="61"/>
      <c r="T352" s="62">
        <v>11</v>
      </c>
    </row>
    <row r="353" spans="1:20" x14ac:dyDescent="0.2">
      <c r="A353" s="62">
        <v>12</v>
      </c>
      <c r="B353" s="61"/>
      <c r="C353" s="64">
        <v>1.0771631205673764</v>
      </c>
      <c r="D353" s="64">
        <v>1.1813796430294259</v>
      </c>
      <c r="E353" s="64">
        <v>1.1949390815370198</v>
      </c>
      <c r="F353" s="64">
        <v>1.1041573535985689</v>
      </c>
      <c r="G353" s="61"/>
      <c r="H353" s="64">
        <v>1.0322071360909377</v>
      </c>
      <c r="I353" s="64">
        <v>1.2214003944773171</v>
      </c>
      <c r="J353" s="64">
        <v>1.4351378958120531</v>
      </c>
      <c r="K353" s="64">
        <v>1.2477477477477483</v>
      </c>
      <c r="L353" s="64">
        <v>1.1346633416458847</v>
      </c>
      <c r="M353" s="61"/>
      <c r="N353" s="64">
        <v>1.044739429695182</v>
      </c>
      <c r="O353" s="64">
        <v>1.185257985257985</v>
      </c>
      <c r="P353" s="64">
        <v>1.4393004115226344</v>
      </c>
      <c r="Q353" s="64">
        <v>1.4390715667311416</v>
      </c>
      <c r="R353" s="64">
        <v>1.1114982578397214</v>
      </c>
      <c r="S353" s="61"/>
      <c r="T353" s="62">
        <v>12</v>
      </c>
    </row>
    <row r="354" spans="1:20" x14ac:dyDescent="0.2">
      <c r="A354" s="62">
        <v>13</v>
      </c>
      <c r="B354" s="61"/>
      <c r="C354" s="64">
        <v>1.0754609929078018</v>
      </c>
      <c r="D354" s="64">
        <v>1.2074288470815242</v>
      </c>
      <c r="E354" s="64">
        <v>1.1893158388003748</v>
      </c>
      <c r="F354" s="64">
        <v>1.1104157353598565</v>
      </c>
      <c r="G354" s="61"/>
      <c r="H354" s="64">
        <v>1.0277865487843383</v>
      </c>
      <c r="I354" s="64">
        <v>1.2475345167652854</v>
      </c>
      <c r="J354" s="64">
        <v>1.4770173646578142</v>
      </c>
      <c r="K354" s="64">
        <v>1.2387387387387394</v>
      </c>
      <c r="L354" s="64">
        <v>1.1421446384039893</v>
      </c>
      <c r="M354" s="61"/>
      <c r="N354" s="64">
        <v>1.0412979351032448</v>
      </c>
      <c r="O354" s="64">
        <v>1.2117936117936114</v>
      </c>
      <c r="P354" s="64">
        <v>1.4814814814814823</v>
      </c>
      <c r="Q354" s="64">
        <v>1.4081237911025148</v>
      </c>
      <c r="R354" s="64">
        <v>1.1219512195121955</v>
      </c>
      <c r="S354" s="61"/>
      <c r="T354" s="62">
        <v>13</v>
      </c>
    </row>
    <row r="355" spans="1:20" x14ac:dyDescent="0.2">
      <c r="A355" s="62">
        <v>14</v>
      </c>
      <c r="B355" s="61"/>
      <c r="C355" s="64">
        <v>1.0717730496453906</v>
      </c>
      <c r="D355" s="64">
        <v>1.2344428364688855</v>
      </c>
      <c r="E355" s="64">
        <v>1.1874414245548266</v>
      </c>
      <c r="F355" s="64">
        <v>1.1166741171211441</v>
      </c>
      <c r="G355" s="61"/>
      <c r="H355" s="64">
        <v>1.0205241553520681</v>
      </c>
      <c r="I355" s="64">
        <v>1.2741617357001964</v>
      </c>
      <c r="J355" s="64">
        <v>1.5209397344228803</v>
      </c>
      <c r="K355" s="64">
        <v>1.2331081081081088</v>
      </c>
      <c r="L355" s="64">
        <v>1.1571072319201987</v>
      </c>
      <c r="M355" s="61"/>
      <c r="N355" s="64">
        <v>1.0368731563421827</v>
      </c>
      <c r="O355" s="64">
        <v>1.2373464373464371</v>
      </c>
      <c r="P355" s="64">
        <v>1.5257201646090544</v>
      </c>
      <c r="Q355" s="64">
        <v>1.3849129593810448</v>
      </c>
      <c r="R355" s="64">
        <v>1.128919860627178</v>
      </c>
      <c r="S355" s="61"/>
      <c r="T355" s="62">
        <v>14</v>
      </c>
    </row>
    <row r="356" spans="1:20" x14ac:dyDescent="0.2">
      <c r="A356" s="62">
        <v>15</v>
      </c>
      <c r="B356" s="61"/>
      <c r="C356" s="64">
        <v>1.0720567375886529</v>
      </c>
      <c r="D356" s="64">
        <v>1.2619392185238782</v>
      </c>
      <c r="E356" s="64">
        <v>1.1911902530459233</v>
      </c>
      <c r="F356" s="64">
        <v>1.1238265534197585</v>
      </c>
      <c r="G356" s="61"/>
      <c r="H356" s="64">
        <v>1.0176823492263971</v>
      </c>
      <c r="I356" s="64">
        <v>1.3007889546351077</v>
      </c>
      <c r="J356" s="64">
        <v>1.5669050051072519</v>
      </c>
      <c r="K356" s="64">
        <v>1.2364864864864873</v>
      </c>
      <c r="L356" s="64">
        <v>1.1670822942643384</v>
      </c>
      <c r="M356" s="61"/>
      <c r="N356" s="64">
        <v>1.0373647984267451</v>
      </c>
      <c r="O356" s="64">
        <v>1.2619164619164618</v>
      </c>
      <c r="P356" s="64">
        <v>1.5720164609053504</v>
      </c>
      <c r="Q356" s="64">
        <v>1.3733075435203097</v>
      </c>
      <c r="R356" s="64">
        <v>1.139372822299652</v>
      </c>
      <c r="S356" s="61"/>
      <c r="T356" s="62">
        <v>15</v>
      </c>
    </row>
    <row r="357" spans="1:20" x14ac:dyDescent="0.2">
      <c r="A357" s="62">
        <v>16</v>
      </c>
      <c r="B357" s="61"/>
      <c r="C357" s="64">
        <v>1.0740425531914899</v>
      </c>
      <c r="D357" s="64">
        <v>1.290400385914134</v>
      </c>
      <c r="E357" s="64">
        <v>1.2024367385192127</v>
      </c>
      <c r="F357" s="64">
        <v>1.1323200715243626</v>
      </c>
      <c r="G357" s="61"/>
      <c r="H357" s="64">
        <v>1.0164193242816544</v>
      </c>
      <c r="I357" s="64">
        <v>1.3284023668639047</v>
      </c>
      <c r="J357" s="64">
        <v>1.6159346271705819</v>
      </c>
      <c r="K357" s="64">
        <v>1.2466216216216224</v>
      </c>
      <c r="L357" s="64">
        <v>1.1720698254364084</v>
      </c>
      <c r="M357" s="61"/>
      <c r="N357" s="64">
        <v>1.0393313667649948</v>
      </c>
      <c r="O357" s="64">
        <v>1.2894348894348893</v>
      </c>
      <c r="P357" s="64">
        <v>1.6203703703703711</v>
      </c>
      <c r="Q357" s="64">
        <v>1.3829787234042554</v>
      </c>
      <c r="R357" s="64">
        <v>1.1463414634146345</v>
      </c>
      <c r="S357" s="61"/>
      <c r="T357" s="62">
        <v>16</v>
      </c>
    </row>
    <row r="358" spans="1:20" x14ac:dyDescent="0.2">
      <c r="A358" s="62">
        <v>17</v>
      </c>
      <c r="B358" s="61"/>
      <c r="C358" s="64">
        <v>1.0771631205673764</v>
      </c>
      <c r="D358" s="64">
        <v>1.3188615533043897</v>
      </c>
      <c r="E358" s="64">
        <v>1.2202436738519213</v>
      </c>
      <c r="F358" s="64">
        <v>1.1426016987036205</v>
      </c>
      <c r="G358" s="61"/>
      <c r="H358" s="64">
        <v>1.0164193242816544</v>
      </c>
      <c r="I358" s="64">
        <v>1.3574950690335299</v>
      </c>
      <c r="J358" s="64">
        <v>1.6649642492339118</v>
      </c>
      <c r="K358" s="64">
        <v>1.2668918918918926</v>
      </c>
      <c r="L358" s="64">
        <v>1.1870324189526178</v>
      </c>
      <c r="M358" s="61"/>
      <c r="N358" s="64">
        <v>1.0427728613569318</v>
      </c>
      <c r="O358" s="64">
        <v>1.3184275184275183</v>
      </c>
      <c r="P358" s="64">
        <v>1.6697530864197541</v>
      </c>
      <c r="Q358" s="64">
        <v>1.4119922630560928</v>
      </c>
      <c r="R358" s="64">
        <v>1.153310104529617</v>
      </c>
      <c r="S358" s="61"/>
      <c r="T358" s="62">
        <v>17</v>
      </c>
    </row>
    <row r="359" spans="1:20" x14ac:dyDescent="0.2">
      <c r="A359" s="62">
        <v>18</v>
      </c>
      <c r="B359" s="61"/>
      <c r="C359" s="64">
        <v>1.0817021276595751</v>
      </c>
      <c r="D359" s="64">
        <v>1.3482875060299082</v>
      </c>
      <c r="E359" s="64">
        <v>1.2380506091846302</v>
      </c>
      <c r="F359" s="64">
        <v>1.1515422440768883</v>
      </c>
      <c r="G359" s="61"/>
      <c r="H359" s="64">
        <v>1.0186296179349541</v>
      </c>
      <c r="I359" s="64">
        <v>1.3880670611439836</v>
      </c>
      <c r="J359" s="64">
        <v>1.7119509703779365</v>
      </c>
      <c r="K359" s="64">
        <v>1.2837837837837847</v>
      </c>
      <c r="L359" s="64">
        <v>1.1970074812967575</v>
      </c>
      <c r="M359" s="61"/>
      <c r="N359" s="64">
        <v>1.0486725663716809</v>
      </c>
      <c r="O359" s="64">
        <v>1.3484029484029483</v>
      </c>
      <c r="P359" s="64">
        <v>1.7170781893004126</v>
      </c>
      <c r="Q359" s="64">
        <v>1.4332688588007738</v>
      </c>
      <c r="R359" s="64">
        <v>1.163763066202091</v>
      </c>
      <c r="S359" s="61"/>
      <c r="T359" s="62">
        <v>18</v>
      </c>
    </row>
    <row r="360" spans="1:20" x14ac:dyDescent="0.2">
      <c r="A360" s="62">
        <v>19</v>
      </c>
      <c r="B360" s="61"/>
      <c r="C360" s="64">
        <v>1.085106382978724</v>
      </c>
      <c r="D360" s="64">
        <v>1.3791606367583211</v>
      </c>
      <c r="E360" s="64">
        <v>1.2539831302717903</v>
      </c>
      <c r="F360" s="64">
        <v>1.1604827894501559</v>
      </c>
      <c r="G360" s="61"/>
      <c r="H360" s="64">
        <v>1.0198926428796968</v>
      </c>
      <c r="I360" s="64">
        <v>1.419625246548323</v>
      </c>
      <c r="J360" s="64">
        <v>1.7640449438202244</v>
      </c>
      <c r="K360" s="64">
        <v>1.2995495495495502</v>
      </c>
      <c r="L360" s="64">
        <v>1.2119700748129671</v>
      </c>
      <c r="M360" s="61"/>
      <c r="N360" s="64">
        <v>1.0535889872173052</v>
      </c>
      <c r="O360" s="64">
        <v>1.3803439803439801</v>
      </c>
      <c r="P360" s="64">
        <v>1.7705761316872437</v>
      </c>
      <c r="Q360" s="64">
        <v>1.4545454545454548</v>
      </c>
      <c r="R360" s="64">
        <v>1.1707317073170735</v>
      </c>
      <c r="S360" s="61"/>
      <c r="T360" s="62">
        <v>19</v>
      </c>
    </row>
    <row r="361" spans="1:20" x14ac:dyDescent="0.2">
      <c r="A361" s="62">
        <v>20</v>
      </c>
      <c r="B361" s="61"/>
      <c r="C361" s="64">
        <v>1.0890780141843979</v>
      </c>
      <c r="D361" s="64">
        <v>1.4095513748191024</v>
      </c>
      <c r="E361" s="64">
        <v>1.2736644798500469</v>
      </c>
      <c r="F361" s="64">
        <v>1.1694233348234238</v>
      </c>
      <c r="G361" s="61"/>
      <c r="H361" s="64">
        <v>1.0221029365329966</v>
      </c>
      <c r="I361" s="64">
        <v>1.4506903353057197</v>
      </c>
      <c r="J361" s="64">
        <v>1.8181818181818179</v>
      </c>
      <c r="K361" s="64">
        <v>1.3220720720720729</v>
      </c>
      <c r="L361" s="64">
        <v>1.2244389027431415</v>
      </c>
      <c r="M361" s="61"/>
      <c r="N361" s="64">
        <v>1.0589970501474921</v>
      </c>
      <c r="O361" s="64">
        <v>1.4108108108108106</v>
      </c>
      <c r="P361" s="64">
        <v>1.8240740740740751</v>
      </c>
      <c r="Q361" s="64">
        <v>1.4854932301740813</v>
      </c>
      <c r="R361" s="64">
        <v>1.1777003484320561</v>
      </c>
      <c r="S361" s="61"/>
      <c r="T361" s="62">
        <v>20</v>
      </c>
    </row>
    <row r="362" spans="1:20" x14ac:dyDescent="0.2">
      <c r="A362" s="62">
        <v>21</v>
      </c>
      <c r="B362" s="61"/>
      <c r="C362" s="64">
        <v>1.0939007092198589</v>
      </c>
      <c r="D362" s="64">
        <v>1.4409068982151469</v>
      </c>
      <c r="E362" s="64">
        <v>1.295220243673852</v>
      </c>
      <c r="F362" s="64">
        <v>1.178810907465355</v>
      </c>
      <c r="G362" s="61"/>
      <c r="H362" s="64">
        <v>1.0249447426586675</v>
      </c>
      <c r="I362" s="64">
        <v>1.4827416173570016</v>
      </c>
      <c r="J362" s="64">
        <v>1.8712972420837584</v>
      </c>
      <c r="K362" s="64">
        <v>1.3445945945945954</v>
      </c>
      <c r="L362" s="64">
        <v>1.2319201995012463</v>
      </c>
      <c r="M362" s="61"/>
      <c r="N362" s="64">
        <v>1.0648967551622415</v>
      </c>
      <c r="O362" s="64">
        <v>1.4427518427518424</v>
      </c>
      <c r="P362" s="64">
        <v>1.8775720164609062</v>
      </c>
      <c r="Q362" s="64">
        <v>1.5164410058027078</v>
      </c>
      <c r="R362" s="64">
        <v>1.1846689895470386</v>
      </c>
      <c r="S362" s="61"/>
      <c r="T362" s="62">
        <v>21</v>
      </c>
    </row>
    <row r="363" spans="1:20" x14ac:dyDescent="0.2">
      <c r="A363" s="62">
        <v>22</v>
      </c>
      <c r="B363" s="61"/>
      <c r="C363" s="64">
        <v>1.1004255319148943</v>
      </c>
      <c r="D363" s="64">
        <v>1.474191992281717</v>
      </c>
      <c r="E363" s="64">
        <v>1.3102155576382379</v>
      </c>
      <c r="F363" s="64">
        <v>1.1868573983012958</v>
      </c>
      <c r="G363" s="61"/>
      <c r="H363" s="64">
        <v>1.0296810862014525</v>
      </c>
      <c r="I363" s="64">
        <v>1.5162721893491122</v>
      </c>
      <c r="J363" s="64">
        <v>1.9254341164453519</v>
      </c>
      <c r="K363" s="64">
        <v>1.358108108108109</v>
      </c>
      <c r="L363" s="64">
        <v>1.2493765586034906</v>
      </c>
      <c r="M363" s="61"/>
      <c r="N363" s="64">
        <v>1.0737463126843654</v>
      </c>
      <c r="O363" s="64">
        <v>1.4766584766584763</v>
      </c>
      <c r="P363" s="64">
        <v>1.9320987654320998</v>
      </c>
      <c r="Q363" s="64">
        <v>1.5338491295938104</v>
      </c>
      <c r="R363" s="64">
        <v>1.1951219512195124</v>
      </c>
      <c r="S363" s="61"/>
      <c r="T363" s="62">
        <v>22</v>
      </c>
    </row>
    <row r="364" spans="1:20" x14ac:dyDescent="0.2">
      <c r="A364" s="62">
        <v>23</v>
      </c>
      <c r="B364" s="61"/>
      <c r="C364" s="64">
        <v>1.1075177304964545</v>
      </c>
      <c r="D364" s="64">
        <v>1.5094066570188129</v>
      </c>
      <c r="E364" s="64">
        <v>1.3327085285848173</v>
      </c>
      <c r="F364" s="64">
        <v>1.1953509164059002</v>
      </c>
      <c r="G364" s="61"/>
      <c r="H364" s="64">
        <v>1.0347331859804234</v>
      </c>
      <c r="I364" s="64">
        <v>1.5527613412228793</v>
      </c>
      <c r="J364" s="64">
        <v>1.9826353421859033</v>
      </c>
      <c r="K364" s="64">
        <v>1.3828828828828836</v>
      </c>
      <c r="L364" s="64">
        <v>1.2618453865336652</v>
      </c>
      <c r="M364" s="61"/>
      <c r="N364" s="64">
        <v>1.0840707964601766</v>
      </c>
      <c r="O364" s="64">
        <v>1.5130221130221124</v>
      </c>
      <c r="P364" s="64">
        <v>1.9897119341563794</v>
      </c>
      <c r="Q364" s="64">
        <v>1.5686653771760153</v>
      </c>
      <c r="R364" s="64">
        <v>1.2020905923344949</v>
      </c>
      <c r="S364" s="61"/>
      <c r="T364" s="62">
        <v>23</v>
      </c>
    </row>
    <row r="365" spans="1:20" x14ac:dyDescent="0.2">
      <c r="A365" s="62">
        <v>24</v>
      </c>
      <c r="B365" s="61"/>
      <c r="C365" s="64">
        <v>1.1140425531914901</v>
      </c>
      <c r="D365" s="64">
        <v>1.5441389290882774</v>
      </c>
      <c r="E365" s="64">
        <v>1.364573570759138</v>
      </c>
      <c r="F365" s="64">
        <v>1.2060795708538217</v>
      </c>
      <c r="G365" s="61"/>
      <c r="H365" s="64">
        <v>1.0397852857593941</v>
      </c>
      <c r="I365" s="64">
        <v>1.588264299802761</v>
      </c>
      <c r="J365" s="64">
        <v>2.070480081716036</v>
      </c>
      <c r="K365" s="64">
        <v>1.4189189189189197</v>
      </c>
      <c r="L365" s="64">
        <v>1.2817955112219444</v>
      </c>
      <c r="M365" s="61"/>
      <c r="N365" s="64">
        <v>1.0929203539823005</v>
      </c>
      <c r="O365" s="64">
        <v>1.5479115479115473</v>
      </c>
      <c r="P365" s="64">
        <v>2.0781893004115237</v>
      </c>
      <c r="Q365" s="64">
        <v>1.620889748549323</v>
      </c>
      <c r="R365" s="64">
        <v>1.2125435540069687</v>
      </c>
      <c r="S365" s="61"/>
      <c r="T365" s="62">
        <v>24</v>
      </c>
    </row>
    <row r="366" spans="1:20" x14ac:dyDescent="0.2">
      <c r="A366" s="62">
        <v>25</v>
      </c>
      <c r="B366" s="61"/>
      <c r="C366" s="64">
        <v>1.1191489361702134</v>
      </c>
      <c r="D366" s="64">
        <v>1.5783888084901103</v>
      </c>
      <c r="E366" s="64">
        <v>1.3955014058106843</v>
      </c>
      <c r="F366" s="64">
        <v>1.2185963343763966</v>
      </c>
      <c r="G366" s="61"/>
      <c r="H366" s="64">
        <v>1.0451531417745505</v>
      </c>
      <c r="I366" s="64">
        <v>1.6232741617357</v>
      </c>
      <c r="J366" s="64">
        <v>2.1838610827374865</v>
      </c>
      <c r="K366" s="64">
        <v>1.4538288288288299</v>
      </c>
      <c r="L366" s="64">
        <v>1.2942643391521191</v>
      </c>
      <c r="M366" s="61"/>
      <c r="N366" s="64">
        <v>1.1007866273352995</v>
      </c>
      <c r="O366" s="64">
        <v>1.5832923832923826</v>
      </c>
      <c r="P366" s="64">
        <v>2.1913580246913593</v>
      </c>
      <c r="Q366" s="64">
        <v>1.6711798839458412</v>
      </c>
      <c r="R366" s="64">
        <v>1.2195121951219514</v>
      </c>
      <c r="S366" s="61"/>
      <c r="T366" s="62">
        <v>25</v>
      </c>
    </row>
    <row r="367" spans="1:20" x14ac:dyDescent="0.2">
      <c r="A367" s="62">
        <v>26</v>
      </c>
      <c r="B367" s="61"/>
      <c r="C367" s="64">
        <v>1.1234042553191494</v>
      </c>
      <c r="D367" s="64">
        <v>1.612156295224312</v>
      </c>
      <c r="E367" s="64">
        <v>1.4133083411433927</v>
      </c>
      <c r="F367" s="64">
        <v>1.2279839070183274</v>
      </c>
      <c r="G367" s="61"/>
      <c r="H367" s="64">
        <v>1.0476791916640358</v>
      </c>
      <c r="I367" s="64">
        <v>1.6577909270216959</v>
      </c>
      <c r="J367" s="64">
        <v>2.2665985699693558</v>
      </c>
      <c r="K367" s="64">
        <v>1.4740990990991001</v>
      </c>
      <c r="L367" s="64">
        <v>1.3017456359102237</v>
      </c>
      <c r="M367" s="61"/>
      <c r="N367" s="64">
        <v>1.1066863323500487</v>
      </c>
      <c r="O367" s="64">
        <v>1.6176904176904172</v>
      </c>
      <c r="P367" s="64">
        <v>2.275720164609055</v>
      </c>
      <c r="Q367" s="64">
        <v>1.7059961315280461</v>
      </c>
      <c r="R367" s="64">
        <v>1.2299651567944252</v>
      </c>
      <c r="S367" s="61"/>
      <c r="T367" s="62">
        <v>26</v>
      </c>
    </row>
    <row r="368" spans="1:20" x14ac:dyDescent="0.2">
      <c r="A368" s="62">
        <v>27</v>
      </c>
      <c r="B368" s="61"/>
      <c r="C368" s="64">
        <v>1.1273758865248231</v>
      </c>
      <c r="D368" s="64">
        <v>1.6459237819585135</v>
      </c>
      <c r="E368" s="64">
        <v>1.4283036551077788</v>
      </c>
      <c r="F368" s="64">
        <v>1.2364774251229318</v>
      </c>
      <c r="G368" s="61"/>
      <c r="H368" s="64">
        <v>1.049257972844964</v>
      </c>
      <c r="I368" s="64">
        <v>1.6923076923076921</v>
      </c>
      <c r="J368" s="64">
        <v>2.3381001021450452</v>
      </c>
      <c r="K368" s="64">
        <v>1.4921171171171181</v>
      </c>
      <c r="L368" s="64">
        <v>1.3092269326683286</v>
      </c>
      <c r="M368" s="61"/>
      <c r="N368" s="64">
        <v>1.1120943952802353</v>
      </c>
      <c r="O368" s="64">
        <v>1.6520884520884513</v>
      </c>
      <c r="P368" s="64">
        <v>2.3477366255144045</v>
      </c>
      <c r="Q368" s="64">
        <v>1.7350096711798839</v>
      </c>
      <c r="R368" s="64">
        <v>1.2439024390243902</v>
      </c>
      <c r="S368" s="61"/>
      <c r="T368" s="62">
        <v>27</v>
      </c>
    </row>
    <row r="369" spans="1:20" x14ac:dyDescent="0.2">
      <c r="A369" s="62">
        <v>28</v>
      </c>
      <c r="B369" s="61"/>
      <c r="C369" s="64">
        <v>1.1313475177304968</v>
      </c>
      <c r="D369" s="64">
        <v>1.6811384466956099</v>
      </c>
      <c r="E369" s="64">
        <v>1.4423617619493907</v>
      </c>
      <c r="F369" s="64">
        <v>1.2449709432275362</v>
      </c>
      <c r="G369" s="61"/>
      <c r="H369" s="64">
        <v>1.0508367540258925</v>
      </c>
      <c r="I369" s="64">
        <v>1.7283037475345164</v>
      </c>
      <c r="J369" s="64">
        <v>2.4126659856996926</v>
      </c>
      <c r="K369" s="64">
        <v>1.5101351351351362</v>
      </c>
      <c r="L369" s="64">
        <v>1.3192019950124683</v>
      </c>
      <c r="M369" s="61"/>
      <c r="N369" s="64">
        <v>1.117502458210422</v>
      </c>
      <c r="O369" s="64">
        <v>1.6879606879606877</v>
      </c>
      <c r="P369" s="64">
        <v>2.4228395061728407</v>
      </c>
      <c r="Q369" s="64">
        <v>1.7659574468085106</v>
      </c>
      <c r="R369" s="64">
        <v>1.254355400696864</v>
      </c>
      <c r="S369" s="61"/>
      <c r="T369" s="62">
        <v>28</v>
      </c>
    </row>
    <row r="370" spans="1:20" x14ac:dyDescent="0.2">
      <c r="A370" s="62">
        <v>29</v>
      </c>
      <c r="B370" s="61"/>
      <c r="C370" s="64">
        <v>1.1353191489361705</v>
      </c>
      <c r="D370" s="64">
        <v>1.7168355041003374</v>
      </c>
      <c r="E370" s="64">
        <v>1.4582942830365508</v>
      </c>
      <c r="F370" s="64">
        <v>1.2534644613321406</v>
      </c>
      <c r="G370" s="61"/>
      <c r="H370" s="64">
        <v>1.0527312914430065</v>
      </c>
      <c r="I370" s="64">
        <v>1.7652859960552267</v>
      </c>
      <c r="J370" s="64">
        <v>2.4892747701736453</v>
      </c>
      <c r="K370" s="64">
        <v>1.5281531531531543</v>
      </c>
      <c r="L370" s="64">
        <v>1.3266832917705731</v>
      </c>
      <c r="M370" s="61"/>
      <c r="N370" s="64">
        <v>1.122910521140609</v>
      </c>
      <c r="O370" s="64">
        <v>1.7248157248157243</v>
      </c>
      <c r="P370" s="64">
        <v>2.4989711934156391</v>
      </c>
      <c r="Q370" s="64">
        <v>1.7969052224371371</v>
      </c>
      <c r="R370" s="64">
        <v>1.2682926829268291</v>
      </c>
      <c r="S370" s="61"/>
      <c r="T370" s="62">
        <v>29</v>
      </c>
    </row>
    <row r="371" spans="1:20" x14ac:dyDescent="0.2">
      <c r="A371" s="62">
        <v>30</v>
      </c>
      <c r="B371" s="61"/>
      <c r="C371" s="64">
        <v>1.1392907801418439</v>
      </c>
      <c r="D371" s="64">
        <v>1.7539797395079588</v>
      </c>
      <c r="E371" s="64">
        <v>1.4732895970009372</v>
      </c>
      <c r="F371" s="64">
        <v>1.261957979436745</v>
      </c>
      <c r="G371" s="61"/>
      <c r="H371" s="64">
        <v>1.0543100726239347</v>
      </c>
      <c r="I371" s="64">
        <v>1.8032544378698225</v>
      </c>
      <c r="J371" s="64">
        <v>2.5679264555669037</v>
      </c>
      <c r="K371" s="64">
        <v>1.5461711711711723</v>
      </c>
      <c r="L371" s="64">
        <v>1.3366583541147128</v>
      </c>
      <c r="M371" s="61"/>
      <c r="N371" s="64">
        <v>1.1288102261553583</v>
      </c>
      <c r="O371" s="64">
        <v>1.762653562653562</v>
      </c>
      <c r="P371" s="64">
        <v>2.5781893004115237</v>
      </c>
      <c r="Q371" s="64">
        <v>1.8278529980657641</v>
      </c>
      <c r="R371" s="64">
        <v>1.2787456445993028</v>
      </c>
      <c r="S371" s="61"/>
      <c r="T371" s="62">
        <v>30</v>
      </c>
    </row>
    <row r="372" spans="1:20" x14ac:dyDescent="0.2">
      <c r="A372" s="62"/>
      <c r="B372" s="61"/>
      <c r="C372" s="65"/>
      <c r="D372" s="65"/>
      <c r="E372" s="65"/>
      <c r="F372" s="65"/>
      <c r="G372" s="61"/>
      <c r="H372" s="65"/>
      <c r="I372" s="65"/>
      <c r="J372" s="65"/>
      <c r="K372" s="65"/>
      <c r="L372" s="65"/>
      <c r="M372" s="61"/>
      <c r="N372" s="65"/>
      <c r="O372" s="65"/>
      <c r="P372" s="65"/>
      <c r="Q372" s="65"/>
      <c r="R372" s="65"/>
      <c r="S372" s="61"/>
      <c r="T372" s="62"/>
    </row>
    <row r="373" spans="1:20" ht="15.75" x14ac:dyDescent="0.25">
      <c r="A373" s="58" t="s">
        <v>250</v>
      </c>
      <c r="B373" s="59"/>
      <c r="C373" s="59"/>
      <c r="D373" s="59"/>
      <c r="E373" s="59"/>
      <c r="F373" s="59"/>
      <c r="G373" s="59"/>
      <c r="H373" s="59"/>
      <c r="I373" s="59"/>
      <c r="J373" s="59"/>
      <c r="K373" s="59"/>
      <c r="L373" s="59"/>
      <c r="M373" s="59"/>
      <c r="N373" s="59"/>
      <c r="O373" s="59"/>
      <c r="P373" s="59"/>
      <c r="Q373" s="59"/>
      <c r="R373" s="59"/>
      <c r="S373" s="59"/>
      <c r="T373" s="58"/>
    </row>
    <row r="374" spans="1:20" ht="15.75" x14ac:dyDescent="0.25">
      <c r="A374" s="58" t="s">
        <v>119</v>
      </c>
      <c r="B374" s="59"/>
      <c r="C374" s="59"/>
      <c r="D374" s="59"/>
      <c r="E374" s="59"/>
      <c r="F374" s="59"/>
      <c r="G374" s="59"/>
      <c r="H374" s="59"/>
      <c r="I374" s="59"/>
      <c r="J374" s="59"/>
      <c r="K374" s="59"/>
      <c r="L374" s="59"/>
      <c r="M374" s="59"/>
      <c r="N374" s="59"/>
      <c r="O374" s="59"/>
      <c r="P374" s="59"/>
      <c r="Q374" s="59"/>
      <c r="R374" s="59"/>
      <c r="S374" s="59"/>
      <c r="T374" s="58"/>
    </row>
    <row r="375" spans="1:20" ht="15.75" x14ac:dyDescent="0.25">
      <c r="A375" s="58"/>
      <c r="B375" s="59"/>
      <c r="C375" s="59"/>
      <c r="D375" s="59"/>
      <c r="E375" s="59"/>
      <c r="F375" s="59"/>
      <c r="G375" s="59"/>
      <c r="H375" s="59"/>
      <c r="I375" s="59"/>
      <c r="J375" s="59"/>
      <c r="K375" s="59"/>
      <c r="L375" s="59"/>
      <c r="M375" s="59"/>
      <c r="N375" s="59"/>
      <c r="O375" s="59"/>
      <c r="P375" s="59"/>
      <c r="Q375" s="59"/>
      <c r="R375" s="59"/>
      <c r="S375" s="59"/>
      <c r="T375" s="59"/>
    </row>
    <row r="376" spans="1:20" ht="7.5" customHeight="1" x14ac:dyDescent="0.25">
      <c r="A376" s="60"/>
      <c r="B376" s="61"/>
      <c r="C376" s="61"/>
      <c r="D376" s="62"/>
      <c r="E376" s="62"/>
      <c r="F376" s="62"/>
      <c r="G376" s="61"/>
      <c r="H376" s="61"/>
      <c r="I376" s="61"/>
      <c r="J376" s="61"/>
      <c r="K376" s="61"/>
      <c r="L376" s="61"/>
      <c r="M376" s="61"/>
      <c r="N376" s="61"/>
      <c r="O376" s="61"/>
      <c r="P376" s="61"/>
      <c r="Q376" s="61"/>
      <c r="R376" s="61"/>
      <c r="S376" s="61"/>
      <c r="T376" s="61"/>
    </row>
    <row r="377" spans="1:20" x14ac:dyDescent="0.2">
      <c r="A377" s="62"/>
      <c r="B377" s="61"/>
      <c r="C377" s="63" t="s">
        <v>122</v>
      </c>
      <c r="D377" s="63"/>
      <c r="E377" s="63"/>
      <c r="F377" s="63"/>
      <c r="G377" s="61"/>
      <c r="H377" s="63" t="s">
        <v>123</v>
      </c>
      <c r="I377" s="63"/>
      <c r="J377" s="63"/>
      <c r="K377" s="63"/>
      <c r="L377" s="59"/>
      <c r="M377" s="61"/>
      <c r="N377" s="63" t="s">
        <v>124</v>
      </c>
      <c r="O377" s="63"/>
      <c r="P377" s="63"/>
      <c r="Q377" s="63"/>
      <c r="R377" s="59"/>
      <c r="S377" s="61"/>
      <c r="T377" s="62"/>
    </row>
    <row r="378" spans="1:20" x14ac:dyDescent="0.2">
      <c r="A378" s="62" t="s">
        <v>41</v>
      </c>
      <c r="B378" s="61"/>
      <c r="C378" s="62" t="s">
        <v>32</v>
      </c>
      <c r="D378" s="62" t="s">
        <v>125</v>
      </c>
      <c r="E378" s="62" t="s">
        <v>33</v>
      </c>
      <c r="F378" s="62" t="s">
        <v>126</v>
      </c>
      <c r="G378" s="62"/>
      <c r="H378" s="62" t="s">
        <v>32</v>
      </c>
      <c r="I378" s="62" t="s">
        <v>125</v>
      </c>
      <c r="J378" s="62" t="s">
        <v>127</v>
      </c>
      <c r="K378" s="62" t="s">
        <v>33</v>
      </c>
      <c r="L378" s="62" t="s">
        <v>128</v>
      </c>
      <c r="M378" s="62"/>
      <c r="N378" s="62" t="s">
        <v>32</v>
      </c>
      <c r="O378" s="62" t="s">
        <v>125</v>
      </c>
      <c r="P378" s="62" t="s">
        <v>127</v>
      </c>
      <c r="Q378" s="62" t="s">
        <v>33</v>
      </c>
      <c r="R378" s="62" t="s">
        <v>128</v>
      </c>
      <c r="S378" s="61"/>
      <c r="T378" s="62" t="s">
        <v>41</v>
      </c>
    </row>
    <row r="379" spans="1:20" x14ac:dyDescent="0.2">
      <c r="A379" s="62">
        <v>1</v>
      </c>
      <c r="B379" s="61"/>
      <c r="C379" s="64">
        <v>1.0245762711864408</v>
      </c>
      <c r="D379" s="64">
        <v>0.9843060323688082</v>
      </c>
      <c r="E379" s="64">
        <v>0.9855351976856318</v>
      </c>
      <c r="F379" s="64">
        <v>1.0096908167974157</v>
      </c>
      <c r="G379" s="61"/>
      <c r="H379" s="64">
        <v>1.0130784708249496</v>
      </c>
      <c r="I379" s="64">
        <v>0.98397596394591891</v>
      </c>
      <c r="J379" s="64">
        <v>1.0077639751552794</v>
      </c>
      <c r="K379" s="64">
        <v>1</v>
      </c>
      <c r="L379" s="64">
        <v>1.0128865979381445</v>
      </c>
      <c r="M379" s="61"/>
      <c r="N379" s="64">
        <v>1.00143815915628</v>
      </c>
      <c r="O379" s="64">
        <v>0.98387096774193539</v>
      </c>
      <c r="P379" s="64">
        <v>1.0085763293310464</v>
      </c>
      <c r="Q379" s="64">
        <v>0.97064989517819711</v>
      </c>
      <c r="R379" s="64">
        <v>1.016025641025641</v>
      </c>
      <c r="S379" s="61"/>
      <c r="T379" s="62">
        <v>1</v>
      </c>
    </row>
    <row r="380" spans="1:20" x14ac:dyDescent="0.2">
      <c r="A380" s="62">
        <v>2</v>
      </c>
      <c r="B380" s="61"/>
      <c r="C380" s="64">
        <v>1.0387005649717513</v>
      </c>
      <c r="D380" s="64">
        <v>1.0240313879352623</v>
      </c>
      <c r="E380" s="64">
        <v>0.99517839922854401</v>
      </c>
      <c r="F380" s="64">
        <v>1.0369173973234886</v>
      </c>
      <c r="G380" s="61"/>
      <c r="H380" s="64">
        <v>1.021797451374916</v>
      </c>
      <c r="I380" s="64">
        <v>1.0150225338007011</v>
      </c>
      <c r="J380" s="64">
        <v>1.0582298136645962</v>
      </c>
      <c r="K380" s="64">
        <v>1.0023501762632196</v>
      </c>
      <c r="L380" s="64">
        <v>1.0283505154639176</v>
      </c>
      <c r="M380" s="61"/>
      <c r="N380" s="64">
        <v>1.00287631831256</v>
      </c>
      <c r="O380" s="64">
        <v>1.0034213098729228</v>
      </c>
      <c r="P380" s="64">
        <v>1.0866209262435678</v>
      </c>
      <c r="Q380" s="64">
        <v>1.0272536687631029</v>
      </c>
      <c r="R380" s="64">
        <v>1.0352564102564104</v>
      </c>
      <c r="S380" s="61"/>
      <c r="T380" s="62">
        <v>2</v>
      </c>
    </row>
    <row r="381" spans="1:20" x14ac:dyDescent="0.2">
      <c r="A381" s="62">
        <v>3</v>
      </c>
      <c r="B381" s="61"/>
      <c r="C381" s="64">
        <v>1.0381355932203389</v>
      </c>
      <c r="D381" s="64">
        <v>1.030407062285434</v>
      </c>
      <c r="E381" s="64">
        <v>1.012536162005786</v>
      </c>
      <c r="F381" s="64">
        <v>1.0475311490539916</v>
      </c>
      <c r="G381" s="61"/>
      <c r="H381" s="64">
        <v>1.0184439973172366</v>
      </c>
      <c r="I381" s="64">
        <v>1.0200300450676014</v>
      </c>
      <c r="J381" s="64">
        <v>1.06055900621118</v>
      </c>
      <c r="K381" s="64">
        <v>1.0058754406580492</v>
      </c>
      <c r="L381" s="64">
        <v>1.036082474226804</v>
      </c>
      <c r="M381" s="61"/>
      <c r="N381" s="64">
        <v>0.9952061361457335</v>
      </c>
      <c r="O381" s="64">
        <v>1.0053763440860215</v>
      </c>
      <c r="P381" s="64">
        <v>1.0986277873070325</v>
      </c>
      <c r="Q381" s="64">
        <v>1.1027253668763102</v>
      </c>
      <c r="R381" s="64">
        <v>1.0384615384615385</v>
      </c>
      <c r="S381" s="61"/>
      <c r="T381" s="62">
        <v>3</v>
      </c>
    </row>
    <row r="382" spans="1:20" x14ac:dyDescent="0.2">
      <c r="A382" s="62">
        <v>4</v>
      </c>
      <c r="B382" s="61"/>
      <c r="C382" s="64">
        <v>1.0440677966101695</v>
      </c>
      <c r="D382" s="64">
        <v>1.0402157920549289</v>
      </c>
      <c r="E382" s="64">
        <v>1.0549662487945999</v>
      </c>
      <c r="F382" s="64">
        <v>1.055376095985233</v>
      </c>
      <c r="G382" s="61"/>
      <c r="H382" s="64">
        <v>1.0234741784037555</v>
      </c>
      <c r="I382" s="64">
        <v>1.0315473209814723</v>
      </c>
      <c r="J382" s="64">
        <v>1.076086956521739</v>
      </c>
      <c r="K382" s="64">
        <v>1.0493537015276142</v>
      </c>
      <c r="L382" s="64">
        <v>1.0412371134020617</v>
      </c>
      <c r="M382" s="61"/>
      <c r="N382" s="64">
        <v>0.99904122722914657</v>
      </c>
      <c r="O382" s="64">
        <v>1.0171065493646139</v>
      </c>
      <c r="P382" s="64">
        <v>1.1157804459691252</v>
      </c>
      <c r="Q382" s="64">
        <v>1.1823899371069182</v>
      </c>
      <c r="R382" s="64">
        <v>1.0448717948717947</v>
      </c>
      <c r="S382" s="61"/>
      <c r="T382" s="62">
        <v>4</v>
      </c>
    </row>
    <row r="383" spans="1:20" x14ac:dyDescent="0.2">
      <c r="A383" s="62">
        <v>5</v>
      </c>
      <c r="B383" s="61"/>
      <c r="C383" s="64">
        <v>1.0627118644067797</v>
      </c>
      <c r="D383" s="64">
        <v>1.0529671407552721</v>
      </c>
      <c r="E383" s="64">
        <v>1.1060752169720349</v>
      </c>
      <c r="F383" s="64">
        <v>1.0609137055837561</v>
      </c>
      <c r="G383" s="61"/>
      <c r="H383" s="64">
        <v>1.0395707578806168</v>
      </c>
      <c r="I383" s="64">
        <v>1.0460691036554832</v>
      </c>
      <c r="J383" s="64">
        <v>1.0962732919254656</v>
      </c>
      <c r="K383" s="64">
        <v>1.1081081081081077</v>
      </c>
      <c r="L383" s="64">
        <v>1.054123711340206</v>
      </c>
      <c r="M383" s="61"/>
      <c r="N383" s="64">
        <v>1.0158197507190796</v>
      </c>
      <c r="O383" s="64">
        <v>1.0327468230694037</v>
      </c>
      <c r="P383" s="64">
        <v>1.1380789022298454</v>
      </c>
      <c r="Q383" s="64">
        <v>1.2725366876310273</v>
      </c>
      <c r="R383" s="64">
        <v>1.0608974358974359</v>
      </c>
      <c r="S383" s="61"/>
      <c r="T383" s="62">
        <v>5</v>
      </c>
    </row>
    <row r="384" spans="1:20" x14ac:dyDescent="0.2">
      <c r="A384" s="62">
        <v>6</v>
      </c>
      <c r="B384" s="61"/>
      <c r="C384" s="64">
        <v>1.0819209039548023</v>
      </c>
      <c r="D384" s="64">
        <v>1.0706228543403629</v>
      </c>
      <c r="E384" s="64">
        <v>1.1436837029893925</v>
      </c>
      <c r="F384" s="64">
        <v>1.0655283802491922</v>
      </c>
      <c r="G384" s="61"/>
      <c r="H384" s="64">
        <v>1.0580147551978536</v>
      </c>
      <c r="I384" s="64">
        <v>1.0645968953430147</v>
      </c>
      <c r="J384" s="64">
        <v>1.1211180124223601</v>
      </c>
      <c r="K384" s="64">
        <v>1.1515863689776731</v>
      </c>
      <c r="L384" s="64">
        <v>1.0644329896907214</v>
      </c>
      <c r="M384" s="61"/>
      <c r="N384" s="64">
        <v>1.0335570469798656</v>
      </c>
      <c r="O384" s="64">
        <v>1.0513196480938416</v>
      </c>
      <c r="P384" s="64">
        <v>1.164665523156089</v>
      </c>
      <c r="Q384" s="64">
        <v>1.3312368972746331</v>
      </c>
      <c r="R384" s="64">
        <v>1.0769230769230769</v>
      </c>
      <c r="S384" s="61"/>
      <c r="T384" s="62">
        <v>6</v>
      </c>
    </row>
    <row r="385" spans="1:20" x14ac:dyDescent="0.2">
      <c r="A385" s="62">
        <v>7</v>
      </c>
      <c r="B385" s="61"/>
      <c r="C385" s="64">
        <v>1.093220338983051</v>
      </c>
      <c r="D385" s="64">
        <v>1.0902403138793526</v>
      </c>
      <c r="E385" s="64">
        <v>1.167791706846673</v>
      </c>
      <c r="F385" s="64">
        <v>1.0701430549146285</v>
      </c>
      <c r="G385" s="61"/>
      <c r="H385" s="64">
        <v>1.0680751173708918</v>
      </c>
      <c r="I385" s="64">
        <v>1.0881321982974461</v>
      </c>
      <c r="J385" s="64">
        <v>1.1475155279503102</v>
      </c>
      <c r="K385" s="64">
        <v>1.1762632197414802</v>
      </c>
      <c r="L385" s="64">
        <v>1.072164948453608</v>
      </c>
      <c r="M385" s="61"/>
      <c r="N385" s="64">
        <v>1.0441035474592522</v>
      </c>
      <c r="O385" s="64">
        <v>1.0767350928641251</v>
      </c>
      <c r="P385" s="64">
        <v>1.1946826758147508</v>
      </c>
      <c r="Q385" s="64">
        <v>1.3605870020964363</v>
      </c>
      <c r="R385" s="64">
        <v>1.0897435897435896</v>
      </c>
      <c r="S385" s="61"/>
      <c r="T385" s="62">
        <v>7</v>
      </c>
    </row>
    <row r="386" spans="1:20" x14ac:dyDescent="0.2">
      <c r="A386" s="62">
        <v>8</v>
      </c>
      <c r="B386" s="61"/>
      <c r="C386" s="64">
        <v>1.1025423728813559</v>
      </c>
      <c r="D386" s="64">
        <v>1.1118195193722413</v>
      </c>
      <c r="E386" s="64">
        <v>1.1870781099324974</v>
      </c>
      <c r="F386" s="64">
        <v>1.0775265343793261</v>
      </c>
      <c r="G386" s="61"/>
      <c r="H386" s="64">
        <v>1.0761234071093224</v>
      </c>
      <c r="I386" s="64">
        <v>1.1111667501251878</v>
      </c>
      <c r="J386" s="64">
        <v>1.1754658385093164</v>
      </c>
      <c r="K386" s="64">
        <v>1.1974148061104579</v>
      </c>
      <c r="L386" s="64">
        <v>1.0773195876288657</v>
      </c>
      <c r="M386" s="61"/>
      <c r="N386" s="64">
        <v>1.0532118887823585</v>
      </c>
      <c r="O386" s="64">
        <v>1.0997067448680351</v>
      </c>
      <c r="P386" s="64">
        <v>1.2255574614065174</v>
      </c>
      <c r="Q386" s="64">
        <v>1.3878406708595392</v>
      </c>
      <c r="R386" s="64">
        <v>1.0993589743589742</v>
      </c>
      <c r="S386" s="61"/>
      <c r="T386" s="62">
        <v>8</v>
      </c>
    </row>
    <row r="387" spans="1:20" x14ac:dyDescent="0.2">
      <c r="A387" s="62">
        <v>9</v>
      </c>
      <c r="B387" s="61"/>
      <c r="C387" s="64">
        <v>1.1067796610169489</v>
      </c>
      <c r="D387" s="64">
        <v>1.13339872486513</v>
      </c>
      <c r="E387" s="64">
        <v>1.2034715525554482</v>
      </c>
      <c r="F387" s="64">
        <v>1.0839870789109365</v>
      </c>
      <c r="G387" s="61"/>
      <c r="H387" s="64">
        <v>1.0784708249496977</v>
      </c>
      <c r="I387" s="64">
        <v>1.1337005508262394</v>
      </c>
      <c r="J387" s="64">
        <v>1.2041925465838506</v>
      </c>
      <c r="K387" s="64">
        <v>1.2150411280846061</v>
      </c>
      <c r="L387" s="64">
        <v>1.0850515463917523</v>
      </c>
      <c r="M387" s="61"/>
      <c r="N387" s="64">
        <v>1.0575263662511984</v>
      </c>
      <c r="O387" s="64">
        <v>1.1217008797653958</v>
      </c>
      <c r="P387" s="64">
        <v>1.257289879931389</v>
      </c>
      <c r="Q387" s="64">
        <v>1.4088050314465412</v>
      </c>
      <c r="R387" s="64">
        <v>1.1057692307692306</v>
      </c>
      <c r="S387" s="61"/>
      <c r="T387" s="62">
        <v>9</v>
      </c>
    </row>
    <row r="388" spans="1:20" x14ac:dyDescent="0.2">
      <c r="A388" s="62">
        <v>10</v>
      </c>
      <c r="B388" s="61"/>
      <c r="C388" s="64">
        <v>1.1161016949152538</v>
      </c>
      <c r="D388" s="64">
        <v>1.1554683668464933</v>
      </c>
      <c r="E388" s="64">
        <v>1.2208293153326901</v>
      </c>
      <c r="F388" s="64">
        <v>1.0899861559760036</v>
      </c>
      <c r="G388" s="61"/>
      <c r="H388" s="64">
        <v>1.0868544600938961</v>
      </c>
      <c r="I388" s="64">
        <v>1.1567351026539812</v>
      </c>
      <c r="J388" s="64">
        <v>1.2336956521739126</v>
      </c>
      <c r="K388" s="64">
        <v>1.2338425381903642</v>
      </c>
      <c r="L388" s="64">
        <v>1.09020618556701</v>
      </c>
      <c r="M388" s="61"/>
      <c r="N388" s="64">
        <v>1.0685522531160117</v>
      </c>
      <c r="O388" s="64">
        <v>1.1446725317693058</v>
      </c>
      <c r="P388" s="64">
        <v>1.2890222984562603</v>
      </c>
      <c r="Q388" s="64">
        <v>1.4339622641509437</v>
      </c>
      <c r="R388" s="64">
        <v>1.1121794871794872</v>
      </c>
      <c r="S388" s="61"/>
      <c r="T388" s="62">
        <v>10</v>
      </c>
    </row>
    <row r="389" spans="1:20" x14ac:dyDescent="0.2">
      <c r="A389" s="62">
        <v>11</v>
      </c>
      <c r="B389" s="61"/>
      <c r="C389" s="64">
        <v>1.1228813559322031</v>
      </c>
      <c r="D389" s="64">
        <v>1.179009318293281</v>
      </c>
      <c r="E389" s="64">
        <v>1.2391513982642235</v>
      </c>
      <c r="F389" s="64">
        <v>1.0982925703737885</v>
      </c>
      <c r="G389" s="61"/>
      <c r="H389" s="64">
        <v>1.0915492957746473</v>
      </c>
      <c r="I389" s="64">
        <v>1.1812719078617928</v>
      </c>
      <c r="J389" s="64">
        <v>1.2647515527950306</v>
      </c>
      <c r="K389" s="64">
        <v>1.2514688601645121</v>
      </c>
      <c r="L389" s="64">
        <v>1.0953608247422677</v>
      </c>
      <c r="M389" s="61"/>
      <c r="N389" s="64">
        <v>1.0767018216682649</v>
      </c>
      <c r="O389" s="64">
        <v>1.168621700879765</v>
      </c>
      <c r="P389" s="64">
        <v>1.3241852487135501</v>
      </c>
      <c r="Q389" s="64">
        <v>1.4696016771488474</v>
      </c>
      <c r="R389" s="64">
        <v>1.1185897435897438</v>
      </c>
      <c r="S389" s="61"/>
      <c r="T389" s="62">
        <v>11</v>
      </c>
    </row>
    <row r="390" spans="1:20" x14ac:dyDescent="0.2">
      <c r="A390" s="62">
        <v>12</v>
      </c>
      <c r="B390" s="61"/>
      <c r="C390" s="64">
        <v>1.1274011299435025</v>
      </c>
      <c r="D390" s="64">
        <v>1.2035311427170181</v>
      </c>
      <c r="E390" s="64">
        <v>1.2430086788813883</v>
      </c>
      <c r="F390" s="64">
        <v>1.1052145823719426</v>
      </c>
      <c r="G390" s="61"/>
      <c r="H390" s="64">
        <v>1.0955734406438626</v>
      </c>
      <c r="I390" s="64">
        <v>1.2068102153229845</v>
      </c>
      <c r="J390" s="64">
        <v>1.2965838509316767</v>
      </c>
      <c r="K390" s="64">
        <v>1.2502937720329024</v>
      </c>
      <c r="L390" s="64">
        <v>1.1030927835051543</v>
      </c>
      <c r="M390" s="61"/>
      <c r="N390" s="64">
        <v>1.0824544582933846</v>
      </c>
      <c r="O390" s="64">
        <v>1.193548387096774</v>
      </c>
      <c r="P390" s="64">
        <v>1.3584905660377355</v>
      </c>
      <c r="Q390" s="64">
        <v>1.4696016771488474</v>
      </c>
      <c r="R390" s="64">
        <v>1.1282051282051284</v>
      </c>
      <c r="S390" s="61"/>
      <c r="T390" s="62">
        <v>12</v>
      </c>
    </row>
    <row r="391" spans="1:20" x14ac:dyDescent="0.2">
      <c r="A391" s="62">
        <v>13</v>
      </c>
      <c r="B391" s="61"/>
      <c r="C391" s="64">
        <v>1.1302259887005646</v>
      </c>
      <c r="D391" s="64">
        <v>1.2300147130946542</v>
      </c>
      <c r="E391" s="64">
        <v>1.237222757955641</v>
      </c>
      <c r="F391" s="64">
        <v>1.111675126903553</v>
      </c>
      <c r="G391" s="61"/>
      <c r="H391" s="64">
        <v>1.0985915492957741</v>
      </c>
      <c r="I391" s="64">
        <v>1.2333500250375562</v>
      </c>
      <c r="J391" s="64">
        <v>1.3284161490683228</v>
      </c>
      <c r="K391" s="64">
        <v>1.2385428907168035</v>
      </c>
      <c r="L391" s="64">
        <v>1.1082474226804118</v>
      </c>
      <c r="M391" s="61"/>
      <c r="N391" s="64">
        <v>1.0848513902205179</v>
      </c>
      <c r="O391" s="64">
        <v>1.2184750733137826</v>
      </c>
      <c r="P391" s="64">
        <v>1.3936535162950254</v>
      </c>
      <c r="Q391" s="64">
        <v>1.4486373165618454</v>
      </c>
      <c r="R391" s="64">
        <v>1.1346153846153848</v>
      </c>
      <c r="S391" s="61"/>
      <c r="T391" s="62">
        <v>13</v>
      </c>
    </row>
    <row r="392" spans="1:20" x14ac:dyDescent="0.2">
      <c r="A392" s="62">
        <v>14</v>
      </c>
      <c r="B392" s="61"/>
      <c r="C392" s="64">
        <v>1.1285310734463274</v>
      </c>
      <c r="D392" s="64">
        <v>1.256988719960765</v>
      </c>
      <c r="E392" s="64">
        <v>1.2343297974927674</v>
      </c>
      <c r="F392" s="64">
        <v>1.1185971389017071</v>
      </c>
      <c r="G392" s="61"/>
      <c r="H392" s="64">
        <v>1.0952380952380947</v>
      </c>
      <c r="I392" s="64">
        <v>1.2598898347521279</v>
      </c>
      <c r="J392" s="64">
        <v>1.3618012422360246</v>
      </c>
      <c r="K392" s="64">
        <v>1.2303172737955346</v>
      </c>
      <c r="L392" s="64">
        <v>1.1185567010309272</v>
      </c>
      <c r="M392" s="61"/>
      <c r="N392" s="64">
        <v>1.0829338446788113</v>
      </c>
      <c r="O392" s="64">
        <v>1.2434017595307914</v>
      </c>
      <c r="P392" s="64">
        <v>1.4305317324185247</v>
      </c>
      <c r="Q392" s="64">
        <v>1.4360587002096441</v>
      </c>
      <c r="R392" s="64">
        <v>1.1442307692307694</v>
      </c>
      <c r="S392" s="61"/>
      <c r="T392" s="62">
        <v>14</v>
      </c>
    </row>
    <row r="393" spans="1:20" x14ac:dyDescent="0.2">
      <c r="A393" s="62">
        <v>15</v>
      </c>
      <c r="B393" s="61"/>
      <c r="C393" s="64">
        <v>1.1285310734463274</v>
      </c>
      <c r="D393" s="64">
        <v>1.2849435998038254</v>
      </c>
      <c r="E393" s="64">
        <v>1.2333654773384761</v>
      </c>
      <c r="F393" s="64">
        <v>1.1255191508998614</v>
      </c>
      <c r="G393" s="61"/>
      <c r="H393" s="64">
        <v>1.0932260228034871</v>
      </c>
      <c r="I393" s="64">
        <v>1.2869303955933897</v>
      </c>
      <c r="J393" s="64">
        <v>1.3967391304347823</v>
      </c>
      <c r="K393" s="64">
        <v>1.2232667450058752</v>
      </c>
      <c r="L393" s="64">
        <v>1.1237113402061851</v>
      </c>
      <c r="M393" s="61"/>
      <c r="N393" s="64">
        <v>1.0829338446788113</v>
      </c>
      <c r="O393" s="64">
        <v>1.2688172043010748</v>
      </c>
      <c r="P393" s="64">
        <v>1.4691252144082332</v>
      </c>
      <c r="Q393" s="64">
        <v>1.4276729559748431</v>
      </c>
      <c r="R393" s="64">
        <v>1.153846153846154</v>
      </c>
      <c r="S393" s="61"/>
      <c r="T393" s="62">
        <v>15</v>
      </c>
    </row>
    <row r="394" spans="1:20" x14ac:dyDescent="0.2">
      <c r="A394" s="62">
        <v>16</v>
      </c>
      <c r="B394" s="61"/>
      <c r="C394" s="64">
        <v>1.130508474576271</v>
      </c>
      <c r="D394" s="64">
        <v>1.3133889161353607</v>
      </c>
      <c r="E394" s="64">
        <v>1.2459016393442619</v>
      </c>
      <c r="F394" s="64">
        <v>1.1347485002307334</v>
      </c>
      <c r="G394" s="61"/>
      <c r="H394" s="64">
        <v>1.0925553319919512</v>
      </c>
      <c r="I394" s="64">
        <v>1.3154732098147217</v>
      </c>
      <c r="J394" s="64">
        <v>1.4340062111801239</v>
      </c>
      <c r="K394" s="64">
        <v>1.2338425381903639</v>
      </c>
      <c r="L394" s="64">
        <v>1.1288659793814426</v>
      </c>
      <c r="M394" s="61"/>
      <c r="N394" s="64">
        <v>1.0858101629913712</v>
      </c>
      <c r="O394" s="64">
        <v>1.2961876832844568</v>
      </c>
      <c r="P394" s="64">
        <v>1.5094339622641513</v>
      </c>
      <c r="Q394" s="64">
        <v>1.4507337526205457</v>
      </c>
      <c r="R394" s="64">
        <v>1.1634615384615385</v>
      </c>
      <c r="S394" s="61"/>
      <c r="T394" s="62">
        <v>16</v>
      </c>
    </row>
    <row r="395" spans="1:20" x14ac:dyDescent="0.2">
      <c r="A395" s="62">
        <v>17</v>
      </c>
      <c r="B395" s="61"/>
      <c r="C395" s="64">
        <v>1.1355932203389829</v>
      </c>
      <c r="D395" s="64">
        <v>1.3413437959784209</v>
      </c>
      <c r="E395" s="64">
        <v>1.264223722275795</v>
      </c>
      <c r="F395" s="64">
        <v>1.1449007844946926</v>
      </c>
      <c r="G395" s="61"/>
      <c r="H395" s="64">
        <v>1.0959087860496308</v>
      </c>
      <c r="I395" s="64">
        <v>1.3445167751627438</v>
      </c>
      <c r="J395" s="64">
        <v>1.4712732919254656</v>
      </c>
      <c r="K395" s="64">
        <v>1.2502937720329022</v>
      </c>
      <c r="L395" s="64">
        <v>1.1391752577319583</v>
      </c>
      <c r="M395" s="61"/>
      <c r="N395" s="64">
        <v>1.0925215723873443</v>
      </c>
      <c r="O395" s="64">
        <v>1.3245356793743885</v>
      </c>
      <c r="P395" s="64">
        <v>1.5506003430531734</v>
      </c>
      <c r="Q395" s="64">
        <v>1.4821802935010489</v>
      </c>
      <c r="R395" s="64">
        <v>1.1698717948717949</v>
      </c>
      <c r="S395" s="61"/>
      <c r="T395" s="62">
        <v>17</v>
      </c>
    </row>
    <row r="396" spans="1:20" x14ac:dyDescent="0.2">
      <c r="A396" s="62">
        <v>18</v>
      </c>
      <c r="B396" s="61"/>
      <c r="C396" s="64">
        <v>1.1415254237288133</v>
      </c>
      <c r="D396" s="64">
        <v>1.3712604217753801</v>
      </c>
      <c r="E396" s="64">
        <v>1.2835101253616197</v>
      </c>
      <c r="F396" s="64">
        <v>1.1545916012921085</v>
      </c>
      <c r="G396" s="61"/>
      <c r="H396" s="64">
        <v>1.101274312541918</v>
      </c>
      <c r="I396" s="64">
        <v>1.3760640961442161</v>
      </c>
      <c r="J396" s="64">
        <v>1.5069875776397512</v>
      </c>
      <c r="K396" s="64">
        <v>1.2679200940070499</v>
      </c>
      <c r="L396" s="64">
        <v>1.1443298969072162</v>
      </c>
      <c r="M396" s="61"/>
      <c r="N396" s="64">
        <v>1.1006711409395975</v>
      </c>
      <c r="O396" s="64">
        <v>1.355816226783968</v>
      </c>
      <c r="P396" s="64">
        <v>1.5900514579759866</v>
      </c>
      <c r="Q396" s="64">
        <v>1.513626834381552</v>
      </c>
      <c r="R396" s="64">
        <v>1.1794871794871797</v>
      </c>
      <c r="S396" s="61"/>
      <c r="T396" s="62">
        <v>18</v>
      </c>
    </row>
    <row r="397" spans="1:20" x14ac:dyDescent="0.2">
      <c r="A397" s="62">
        <v>19</v>
      </c>
      <c r="B397" s="61"/>
      <c r="C397" s="64">
        <v>1.1471751412429376</v>
      </c>
      <c r="D397" s="64">
        <v>1.4021579205492889</v>
      </c>
      <c r="E397" s="64">
        <v>1.3008678881388618</v>
      </c>
      <c r="F397" s="64">
        <v>1.1642824180895242</v>
      </c>
      <c r="G397" s="61"/>
      <c r="H397" s="64">
        <v>1.105633802816901</v>
      </c>
      <c r="I397" s="64">
        <v>1.4076114171256882</v>
      </c>
      <c r="J397" s="64">
        <v>1.5473602484472044</v>
      </c>
      <c r="K397" s="64">
        <v>1.2843713278495881</v>
      </c>
      <c r="L397" s="64">
        <v>1.1546391752577316</v>
      </c>
      <c r="M397" s="61"/>
      <c r="N397" s="64">
        <v>1.1073825503355708</v>
      </c>
      <c r="O397" s="64">
        <v>1.3866080156402731</v>
      </c>
      <c r="P397" s="64">
        <v>1.6346483704974273</v>
      </c>
      <c r="Q397" s="64">
        <v>1.542976939203355</v>
      </c>
      <c r="R397" s="64">
        <v>1.1858974358974361</v>
      </c>
      <c r="S397" s="61"/>
      <c r="T397" s="62">
        <v>19</v>
      </c>
    </row>
    <row r="398" spans="1:20" x14ac:dyDescent="0.2">
      <c r="A398" s="62">
        <v>20</v>
      </c>
      <c r="B398" s="61"/>
      <c r="C398" s="64">
        <v>1.1522598870056495</v>
      </c>
      <c r="D398" s="64">
        <v>1.4335458558116725</v>
      </c>
      <c r="E398" s="64">
        <v>1.3211186113789775</v>
      </c>
      <c r="F398" s="64">
        <v>1.1735117674203963</v>
      </c>
      <c r="G398" s="61"/>
      <c r="H398" s="64">
        <v>1.1099932930918843</v>
      </c>
      <c r="I398" s="64">
        <v>1.4396594892338503</v>
      </c>
      <c r="J398" s="64">
        <v>1.5877329192546579</v>
      </c>
      <c r="K398" s="64">
        <v>1.3019976498237362</v>
      </c>
      <c r="L398" s="64">
        <v>1.1597938144329891</v>
      </c>
      <c r="M398" s="61"/>
      <c r="N398" s="64">
        <v>1.1145733461169705</v>
      </c>
      <c r="O398" s="64">
        <v>1.4178885630498528</v>
      </c>
      <c r="P398" s="64">
        <v>1.679245283018868</v>
      </c>
      <c r="Q398" s="64">
        <v>1.572327044025158</v>
      </c>
      <c r="R398" s="64">
        <v>1.1923076923076925</v>
      </c>
      <c r="S398" s="61"/>
      <c r="T398" s="62">
        <v>20</v>
      </c>
    </row>
    <row r="399" spans="1:20" x14ac:dyDescent="0.2">
      <c r="A399" s="62">
        <v>21</v>
      </c>
      <c r="B399" s="61"/>
      <c r="C399" s="64">
        <v>1.1559322033898303</v>
      </c>
      <c r="D399" s="64">
        <v>1.4654242275625307</v>
      </c>
      <c r="E399" s="64">
        <v>1.3423336547733846</v>
      </c>
      <c r="F399" s="64">
        <v>1.1832025842178122</v>
      </c>
      <c r="G399" s="61"/>
      <c r="H399" s="64">
        <v>1.1133467471495637</v>
      </c>
      <c r="I399" s="64">
        <v>1.4727090635953928</v>
      </c>
      <c r="J399" s="64">
        <v>1.6288819875776395</v>
      </c>
      <c r="K399" s="64">
        <v>1.323149236192714</v>
      </c>
      <c r="L399" s="64">
        <v>1.1675257731958759</v>
      </c>
      <c r="M399" s="61"/>
      <c r="N399" s="64">
        <v>1.1212847555129437</v>
      </c>
      <c r="O399" s="64">
        <v>1.4501466275659818</v>
      </c>
      <c r="P399" s="64">
        <v>1.7238421955403092</v>
      </c>
      <c r="Q399" s="64">
        <v>1.6058700209643615</v>
      </c>
      <c r="R399" s="64">
        <v>1.2019230769230771</v>
      </c>
      <c r="S399" s="61"/>
      <c r="T399" s="62">
        <v>21</v>
      </c>
    </row>
    <row r="400" spans="1:20" x14ac:dyDescent="0.2">
      <c r="A400" s="62">
        <v>22</v>
      </c>
      <c r="B400" s="61"/>
      <c r="C400" s="64">
        <v>1.1612994350282484</v>
      </c>
      <c r="D400" s="64">
        <v>1.4987739087788132</v>
      </c>
      <c r="E400" s="64">
        <v>1.3654773384763739</v>
      </c>
      <c r="F400" s="64">
        <v>1.1915089986155973</v>
      </c>
      <c r="G400" s="61"/>
      <c r="H400" s="64">
        <v>1.1187122736418507</v>
      </c>
      <c r="I400" s="64">
        <v>1.5067601402103152</v>
      </c>
      <c r="J400" s="64">
        <v>1.6700310559006208</v>
      </c>
      <c r="K400" s="64">
        <v>1.3478260869565213</v>
      </c>
      <c r="L400" s="64">
        <v>1.1804123711340202</v>
      </c>
      <c r="M400" s="61"/>
      <c r="N400" s="64">
        <v>1.13039309683605</v>
      </c>
      <c r="O400" s="64">
        <v>1.4833822091886599</v>
      </c>
      <c r="P400" s="64">
        <v>1.7692967409948543</v>
      </c>
      <c r="Q400" s="64">
        <v>1.6352201257861645</v>
      </c>
      <c r="R400" s="64">
        <v>1.2115384615384617</v>
      </c>
      <c r="S400" s="61"/>
      <c r="T400" s="62">
        <v>22</v>
      </c>
    </row>
    <row r="401" spans="1:20" x14ac:dyDescent="0.2">
      <c r="A401" s="62">
        <v>23</v>
      </c>
      <c r="B401" s="61"/>
      <c r="C401" s="64">
        <v>1.1709039548022597</v>
      </c>
      <c r="D401" s="64">
        <v>1.5350662089259441</v>
      </c>
      <c r="E401" s="64">
        <v>1.3953712632594018</v>
      </c>
      <c r="F401" s="64">
        <v>1.2007383479464693</v>
      </c>
      <c r="G401" s="61"/>
      <c r="H401" s="64">
        <v>1.1287726358148888</v>
      </c>
      <c r="I401" s="64">
        <v>1.5438157235853778</v>
      </c>
      <c r="J401" s="64">
        <v>1.713509316770186</v>
      </c>
      <c r="K401" s="64">
        <v>1.3783783783783778</v>
      </c>
      <c r="L401" s="64">
        <v>1.1881443298969068</v>
      </c>
      <c r="M401" s="61"/>
      <c r="N401" s="64">
        <v>1.1438159156279963</v>
      </c>
      <c r="O401" s="64">
        <v>1.5200391006842611</v>
      </c>
      <c r="P401" s="64">
        <v>1.8173241852487139</v>
      </c>
      <c r="Q401" s="64">
        <v>1.6729559748427685</v>
      </c>
      <c r="R401" s="64">
        <v>1.2211538461538463</v>
      </c>
      <c r="S401" s="61"/>
      <c r="T401" s="62">
        <v>23</v>
      </c>
    </row>
    <row r="402" spans="1:20" x14ac:dyDescent="0.2">
      <c r="A402" s="62">
        <v>24</v>
      </c>
      <c r="B402" s="61"/>
      <c r="C402" s="64">
        <v>1.1824858757062144</v>
      </c>
      <c r="D402" s="64">
        <v>1.5708680725846003</v>
      </c>
      <c r="E402" s="64">
        <v>1.4368370298939244</v>
      </c>
      <c r="F402" s="64">
        <v>1.2118135671435157</v>
      </c>
      <c r="G402" s="61"/>
      <c r="H402" s="64">
        <v>1.1411804158283028</v>
      </c>
      <c r="I402" s="64">
        <v>1.5808713069604405</v>
      </c>
      <c r="J402" s="64">
        <v>1.7802795031055896</v>
      </c>
      <c r="K402" s="64">
        <v>1.4230317273795527</v>
      </c>
      <c r="L402" s="64">
        <v>1.2010309278350511</v>
      </c>
      <c r="M402" s="61"/>
      <c r="N402" s="64">
        <v>1.1601150527325026</v>
      </c>
      <c r="O402" s="64">
        <v>1.5557184750733128</v>
      </c>
      <c r="P402" s="64">
        <v>1.8919382504288167</v>
      </c>
      <c r="Q402" s="64">
        <v>1.7358490566037745</v>
      </c>
      <c r="R402" s="64">
        <v>1.2339743589743593</v>
      </c>
      <c r="S402" s="61"/>
      <c r="T402" s="62">
        <v>24</v>
      </c>
    </row>
    <row r="403" spans="1:20" x14ac:dyDescent="0.2">
      <c r="A403" s="62">
        <v>25</v>
      </c>
      <c r="B403" s="61"/>
      <c r="C403" s="64">
        <v>1.1954802259887003</v>
      </c>
      <c r="D403" s="64">
        <v>1.6051986267778322</v>
      </c>
      <c r="E403" s="64">
        <v>1.4802314368370295</v>
      </c>
      <c r="F403" s="64">
        <v>1.2251961236732802</v>
      </c>
      <c r="G403" s="61"/>
      <c r="H403" s="64">
        <v>1.1542588866532526</v>
      </c>
      <c r="I403" s="64">
        <v>1.615923885828743</v>
      </c>
      <c r="J403" s="64">
        <v>1.866459627329192</v>
      </c>
      <c r="K403" s="64">
        <v>1.4712103407755575</v>
      </c>
      <c r="L403" s="64">
        <v>1.2113402061855665</v>
      </c>
      <c r="M403" s="61"/>
      <c r="N403" s="64">
        <v>1.1778523489932888</v>
      </c>
      <c r="O403" s="64">
        <v>1.5904203323558153</v>
      </c>
      <c r="P403" s="64">
        <v>1.9862778730703263</v>
      </c>
      <c r="Q403" s="64">
        <v>1.819706498951783</v>
      </c>
      <c r="R403" s="64">
        <v>1.2435897435897438</v>
      </c>
      <c r="S403" s="61"/>
      <c r="T403" s="62">
        <v>25</v>
      </c>
    </row>
    <row r="404" spans="1:20" x14ac:dyDescent="0.2">
      <c r="A404" s="62">
        <v>26</v>
      </c>
      <c r="B404" s="61"/>
      <c r="C404" s="64">
        <v>1.2033898305084743</v>
      </c>
      <c r="D404" s="64">
        <v>1.6390387444825898</v>
      </c>
      <c r="E404" s="64">
        <v>1.5024108003857275</v>
      </c>
      <c r="F404" s="64">
        <v>1.2344254730041524</v>
      </c>
      <c r="G404" s="61"/>
      <c r="H404" s="64">
        <v>1.1616364855801473</v>
      </c>
      <c r="I404" s="64">
        <v>1.6509764646970453</v>
      </c>
      <c r="J404" s="64">
        <v>1.9293478260869563</v>
      </c>
      <c r="K404" s="64">
        <v>1.4958871915393648</v>
      </c>
      <c r="L404" s="64">
        <v>1.2190721649484531</v>
      </c>
      <c r="M404" s="61"/>
      <c r="N404" s="64">
        <v>1.1883988494726754</v>
      </c>
      <c r="O404" s="64">
        <v>1.6246334310850432</v>
      </c>
      <c r="P404" s="64">
        <v>2.0557461406518014</v>
      </c>
      <c r="Q404" s="64">
        <v>1.8637316561844879</v>
      </c>
      <c r="R404" s="64">
        <v>1.2884615384615385</v>
      </c>
      <c r="S404" s="61"/>
      <c r="T404" s="62">
        <v>26</v>
      </c>
    </row>
    <row r="405" spans="1:20" x14ac:dyDescent="0.2">
      <c r="A405" s="62">
        <v>27</v>
      </c>
      <c r="B405" s="61"/>
      <c r="C405" s="64">
        <v>1.2098870056497171</v>
      </c>
      <c r="D405" s="64">
        <v>1.6733692986758217</v>
      </c>
      <c r="E405" s="64">
        <v>1.516875602700096</v>
      </c>
      <c r="F405" s="64">
        <v>1.2427318874019375</v>
      </c>
      <c r="G405" s="61"/>
      <c r="H405" s="64">
        <v>1.1673373574782024</v>
      </c>
      <c r="I405" s="64">
        <v>1.6860290435653478</v>
      </c>
      <c r="J405" s="64">
        <v>1.9844720496894406</v>
      </c>
      <c r="K405" s="64">
        <v>1.5146886016451226</v>
      </c>
      <c r="L405" s="64">
        <v>1.2293814432989683</v>
      </c>
      <c r="M405" s="61"/>
      <c r="N405" s="64">
        <v>1.1970278044103553</v>
      </c>
      <c r="O405" s="64">
        <v>1.6588465298142709</v>
      </c>
      <c r="P405" s="64">
        <v>2.1166380789022305</v>
      </c>
      <c r="Q405" s="64">
        <v>1.8972746331236912</v>
      </c>
      <c r="R405" s="64">
        <v>1.3141025641025641</v>
      </c>
      <c r="S405" s="61"/>
      <c r="T405" s="62">
        <v>27</v>
      </c>
    </row>
    <row r="406" spans="1:20" x14ac:dyDescent="0.2">
      <c r="A406" s="62">
        <v>28</v>
      </c>
      <c r="B406" s="61"/>
      <c r="C406" s="64">
        <v>1.2161016949152537</v>
      </c>
      <c r="D406" s="64">
        <v>1.7091711623344783</v>
      </c>
      <c r="E406" s="64">
        <v>1.5323047251687554</v>
      </c>
      <c r="F406" s="64">
        <v>1.2510383017997224</v>
      </c>
      <c r="G406" s="61"/>
      <c r="H406" s="64">
        <v>1.1727028839704894</v>
      </c>
      <c r="I406" s="64">
        <v>1.72258387581372</v>
      </c>
      <c r="J406" s="64">
        <v>2.0411490683229809</v>
      </c>
      <c r="K406" s="64">
        <v>1.5323149236192706</v>
      </c>
      <c r="L406" s="64">
        <v>1.2371134020618548</v>
      </c>
      <c r="M406" s="61"/>
      <c r="N406" s="64">
        <v>1.205656759348035</v>
      </c>
      <c r="O406" s="64">
        <v>1.6945259042033232</v>
      </c>
      <c r="P406" s="64">
        <v>2.1792452830188687</v>
      </c>
      <c r="Q406" s="64">
        <v>1.9287211740041941</v>
      </c>
      <c r="R406" s="64">
        <v>1.3237179487179487</v>
      </c>
      <c r="S406" s="61"/>
      <c r="T406" s="62">
        <v>28</v>
      </c>
    </row>
    <row r="407" spans="1:20" x14ac:dyDescent="0.2">
      <c r="A407" s="62">
        <v>29</v>
      </c>
      <c r="B407" s="61"/>
      <c r="C407" s="64">
        <v>1.2225988700564967</v>
      </c>
      <c r="D407" s="64">
        <v>1.745953898970084</v>
      </c>
      <c r="E407" s="64">
        <v>1.5477338476374152</v>
      </c>
      <c r="F407" s="64">
        <v>1.2598061836640511</v>
      </c>
      <c r="G407" s="61"/>
      <c r="H407" s="64">
        <v>1.1784037558685445</v>
      </c>
      <c r="I407" s="64">
        <v>1.7601402103154724</v>
      </c>
      <c r="J407" s="64">
        <v>2.0986024844720497</v>
      </c>
      <c r="K407" s="64">
        <v>1.5511163337250284</v>
      </c>
      <c r="L407" s="64">
        <v>1.2448453608247416</v>
      </c>
      <c r="M407" s="61"/>
      <c r="N407" s="64">
        <v>1.2142857142857149</v>
      </c>
      <c r="O407" s="64">
        <v>1.7311827956989243</v>
      </c>
      <c r="P407" s="64">
        <v>2.2427101200686113</v>
      </c>
      <c r="Q407" s="64">
        <v>1.9622641509433978</v>
      </c>
      <c r="R407" s="64">
        <v>1.3333333333333335</v>
      </c>
      <c r="S407" s="61"/>
      <c r="T407" s="62">
        <v>29</v>
      </c>
    </row>
    <row r="408" spans="1:20" x14ac:dyDescent="0.2">
      <c r="A408" s="62">
        <v>30</v>
      </c>
      <c r="B408" s="61"/>
      <c r="C408" s="64">
        <v>1.2290960451977395</v>
      </c>
      <c r="D408" s="64">
        <v>1.7837175085826389</v>
      </c>
      <c r="E408" s="64">
        <v>1.5631629701060747</v>
      </c>
      <c r="F408" s="64">
        <v>1.2685740655283795</v>
      </c>
      <c r="G408" s="61"/>
      <c r="H408" s="64">
        <v>1.1837692823608315</v>
      </c>
      <c r="I408" s="64">
        <v>1.7986980470706053</v>
      </c>
      <c r="J408" s="64">
        <v>2.158385093167702</v>
      </c>
      <c r="K408" s="64">
        <v>1.5710928319623962</v>
      </c>
      <c r="L408" s="64">
        <v>1.255154639175257</v>
      </c>
      <c r="M408" s="61"/>
      <c r="N408" s="64">
        <v>1.2229146692233948</v>
      </c>
      <c r="O408" s="64">
        <v>1.7688172043010746</v>
      </c>
      <c r="P408" s="64">
        <v>2.3087478559176682</v>
      </c>
      <c r="Q408" s="64">
        <v>1.9979035639413012</v>
      </c>
      <c r="R408" s="64">
        <v>1.3461538461538463</v>
      </c>
      <c r="S408" s="61"/>
      <c r="T408" s="62">
        <v>30</v>
      </c>
    </row>
    <row r="410" spans="1:20" ht="15.75" x14ac:dyDescent="0.25">
      <c r="A410" s="42" t="str">
        <f>A40</f>
        <v>DOE-PROJECTED FUEL PRICE ESCALATION (2015 Projections)</v>
      </c>
      <c r="B410" s="41"/>
      <c r="C410" s="41"/>
      <c r="D410" s="41"/>
      <c r="E410" s="41"/>
      <c r="F410" s="41"/>
      <c r="G410" s="41"/>
      <c r="H410" s="41"/>
      <c r="I410" s="41"/>
      <c r="J410" s="41"/>
      <c r="K410" s="41"/>
      <c r="L410" s="41"/>
      <c r="M410" s="41"/>
      <c r="N410" s="41"/>
      <c r="O410" s="41"/>
      <c r="P410" s="41"/>
      <c r="Q410" s="41"/>
      <c r="R410" s="41"/>
      <c r="S410" s="41"/>
      <c r="T410" s="42"/>
    </row>
    <row r="411" spans="1:20" ht="15.75" x14ac:dyDescent="0.25">
      <c r="A411" s="42" t="str">
        <f>IF('General Data'!$H$21=1,'DOE Fuel Esc Rates'!A41,IF('General Data'!$H$21=2,'DOE Fuel Esc Rates'!A78,IF('General Data'!$H$21=3,'DOE Fuel Esc Rates'!A115,IF('General Data'!$H$21=4,'DOE Fuel Esc Rates'!A152,IF('General Data'!$H$21=5,'DOE Fuel Esc Rates'!A189,"")))))</f>
        <v>Census Region 4</v>
      </c>
      <c r="B411" s="41"/>
      <c r="C411" s="41"/>
      <c r="D411" s="41"/>
      <c r="E411" s="41"/>
      <c r="F411" s="41"/>
      <c r="G411" s="41"/>
      <c r="H411" s="41"/>
      <c r="I411" s="41"/>
      <c r="J411" s="41"/>
      <c r="K411" s="41"/>
      <c r="L411" s="41"/>
      <c r="M411" s="41"/>
      <c r="N411" s="41"/>
      <c r="O411" s="41"/>
      <c r="P411" s="41"/>
      <c r="Q411" s="41"/>
      <c r="R411" s="41"/>
      <c r="S411" s="41"/>
      <c r="T411" s="42"/>
    </row>
    <row r="412" spans="1:20" ht="15.75" x14ac:dyDescent="0.25">
      <c r="A412" s="42" t="str">
        <f>IF('General Data'!$H$21=1,'DOE Fuel Esc Rates'!A42,IF('General Data'!$H$21=2,'DOE Fuel Esc Rates'!A79,IF('General Data'!$H$21=3,'DOE Fuel Esc Rates'!A116,IF('General Data'!$H$21=4,'DOE Fuel Esc Rates'!A153,IF('General Data'!$H$21=5,'DOE Fuel Esc Rates'!A190,"")))))</f>
        <v>(Alaska, ARIZONA, California, Colorado, Hawaii, Idaho, Montana, Nevada, New Mexico, OR, Utah, WA, Wyoming)</v>
      </c>
      <c r="B412" s="41"/>
      <c r="C412" s="41"/>
      <c r="D412" s="41"/>
      <c r="E412" s="41"/>
      <c r="F412" s="41"/>
      <c r="G412" s="41"/>
      <c r="H412" s="41"/>
      <c r="I412" s="41"/>
      <c r="J412" s="41"/>
      <c r="K412" s="41"/>
      <c r="L412" s="41"/>
      <c r="M412" s="41"/>
      <c r="N412" s="41"/>
      <c r="O412" s="41"/>
      <c r="P412" s="41"/>
      <c r="Q412" s="41"/>
      <c r="R412" s="41"/>
      <c r="S412" s="41"/>
      <c r="T412" s="41"/>
    </row>
    <row r="413" spans="1:20" ht="7.5" customHeight="1" x14ac:dyDescent="0.25">
      <c r="A413" s="43"/>
      <c r="B413" s="44"/>
      <c r="C413" s="44"/>
      <c r="D413" s="45"/>
      <c r="E413" s="45"/>
      <c r="F413" s="45"/>
      <c r="G413" s="44"/>
      <c r="H413" s="44"/>
      <c r="I413" s="44"/>
      <c r="J413" s="44"/>
      <c r="K413" s="44"/>
      <c r="L413" s="44"/>
      <c r="M413" s="44"/>
      <c r="N413" s="44"/>
      <c r="O413" s="44"/>
      <c r="P413" s="44"/>
      <c r="Q413" s="44"/>
      <c r="R413" s="44"/>
      <c r="S413" s="44"/>
      <c r="T413" s="44"/>
    </row>
    <row r="414" spans="1:20" x14ac:dyDescent="0.2">
      <c r="A414" s="45"/>
      <c r="B414" s="44"/>
      <c r="C414" s="46" t="s">
        <v>111</v>
      </c>
      <c r="D414" s="46"/>
      <c r="E414" s="46"/>
      <c r="F414" s="46"/>
      <c r="G414" s="44"/>
      <c r="H414" s="46" t="s">
        <v>112</v>
      </c>
      <c r="I414" s="46"/>
      <c r="J414" s="46"/>
      <c r="K414" s="46"/>
      <c r="L414" s="41"/>
      <c r="M414" s="44"/>
      <c r="N414" s="46" t="s">
        <v>113</v>
      </c>
      <c r="O414" s="46"/>
      <c r="P414" s="46"/>
      <c r="Q414" s="46"/>
      <c r="R414" s="41"/>
      <c r="S414" s="44"/>
      <c r="T414" s="45"/>
    </row>
    <row r="415" spans="1:20" x14ac:dyDescent="0.2">
      <c r="A415" s="45" t="str">
        <f>IF('General Data'!$H$21=1,'DOE Fuel Esc Rates'!A45,IF('General Data'!$H$21=2,'DOE Fuel Esc Rates'!A82,IF('General Data'!$H$21=3,'DOE Fuel Esc Rates'!A119,IF('General Data'!$H$21=4,'DOE Fuel Esc Rates'!A156,IF('General Data'!$H$21=5,'DOE Fuel Esc Rates'!A193,"")))))</f>
        <v>Year</v>
      </c>
      <c r="B415" s="44"/>
      <c r="C415" s="45" t="str">
        <f>IF('General Data'!$H$21=1,'DOE Fuel Esc Rates'!C45,IF('General Data'!$H$21=2,'DOE Fuel Esc Rates'!C82,IF('General Data'!$H$21=3,'DOE Fuel Esc Rates'!C119,IF('General Data'!$H$21=4,'DOE Fuel Esc Rates'!C156,IF('General Data'!$H$21=5,'DOE Fuel Esc Rates'!C193,"")))))</f>
        <v>Electric</v>
      </c>
      <c r="D415" s="45" t="str">
        <f>IF('General Data'!$H$21=1,'DOE Fuel Esc Rates'!D45,IF('General Data'!$H$21=2,'DOE Fuel Esc Rates'!D82,IF('General Data'!$H$21=3,'DOE Fuel Esc Rates'!D119,IF('General Data'!$H$21=4,'DOE Fuel Esc Rates'!D156,IF('General Data'!$H$21=5,'DOE Fuel Esc Rates'!D193,"")))))</f>
        <v>Dist</v>
      </c>
      <c r="E415" s="45" t="str">
        <f>IF('General Data'!$H$21=1,'DOE Fuel Esc Rates'!E45,IF('General Data'!$H$21=2,'DOE Fuel Esc Rates'!E82,IF('General Data'!$H$21=3,'DOE Fuel Esc Rates'!E119,IF('General Data'!$H$21=4,'DOE Fuel Esc Rates'!E156,IF('General Data'!$H$21=5,'DOE Fuel Esc Rates'!E193,"")))))</f>
        <v>Nat Gas</v>
      </c>
      <c r="F415" s="45" t="str">
        <f>IF('General Data'!$H$21=1,'DOE Fuel Esc Rates'!F45,IF('General Data'!$H$21=2,'DOE Fuel Esc Rates'!F82,IF('General Data'!$H$21=3,'DOE Fuel Esc Rates'!F119,IF('General Data'!$H$21=4,'DOE Fuel Esc Rates'!F156,IF('General Data'!$H$21=5,'DOE Fuel Esc Rates'!F193,"")))))</f>
        <v>LPG</v>
      </c>
      <c r="G415" s="44"/>
      <c r="H415" s="45" t="str">
        <f>IF('General Data'!$H$21=1,'DOE Fuel Esc Rates'!H45,IF('General Data'!$H$21=2,'DOE Fuel Esc Rates'!H82,IF('General Data'!$H$21=3,'DOE Fuel Esc Rates'!H119,IF('General Data'!$H$21=4,'DOE Fuel Esc Rates'!H156,IF('General Data'!$H$21=5,'DOE Fuel Esc Rates'!H193,"")))))</f>
        <v>Electric</v>
      </c>
      <c r="I415" s="45" t="str">
        <f>IF('General Data'!$H$21=1,'DOE Fuel Esc Rates'!I45,IF('General Data'!$H$21=2,'DOE Fuel Esc Rates'!I82,IF('General Data'!$H$21=3,'DOE Fuel Esc Rates'!I119,IF('General Data'!$H$21=4,'DOE Fuel Esc Rates'!I156,IF('General Data'!$H$21=5,'DOE Fuel Esc Rates'!I193,"")))))</f>
        <v>Dist</v>
      </c>
      <c r="J415" s="45" t="str">
        <f>IF('General Data'!$H$21=1,'DOE Fuel Esc Rates'!J45,IF('General Data'!$H$21=2,'DOE Fuel Esc Rates'!J82,IF('General Data'!$H$21=3,'DOE Fuel Esc Rates'!J119,IF('General Data'!$H$21=4,'DOE Fuel Esc Rates'!J156,IF('General Data'!$H$21=5,'DOE Fuel Esc Rates'!J193,"")))))</f>
        <v>Resid</v>
      </c>
      <c r="K415" s="45" t="str">
        <f>IF('General Data'!$H$21=1,'DOE Fuel Esc Rates'!K45,IF('General Data'!$H$21=2,'DOE Fuel Esc Rates'!K82,IF('General Data'!$H$21=3,'DOE Fuel Esc Rates'!K119,IF('General Data'!$H$21=4,'DOE Fuel Esc Rates'!K156,IF('General Data'!$H$21=5,'DOE Fuel Esc Rates'!K193,"")))))</f>
        <v>Nat Gas</v>
      </c>
      <c r="L415" s="45" t="str">
        <f>IF('General Data'!$H$21=1,'DOE Fuel Esc Rates'!L45,IF('General Data'!$H$21=2,'DOE Fuel Esc Rates'!L82,IF('General Data'!$H$21=3,'DOE Fuel Esc Rates'!L119,IF('General Data'!$H$21=4,'DOE Fuel Esc Rates'!L156,IF('General Data'!$H$21=5,'DOE Fuel Esc Rates'!L193,"")))))</f>
        <v>Coal</v>
      </c>
      <c r="M415" s="44"/>
      <c r="N415" s="45" t="str">
        <f>IF('General Data'!$H$21=1,'DOE Fuel Esc Rates'!N45,IF('General Data'!$H$21=2,'DOE Fuel Esc Rates'!N82,IF('General Data'!$H$21=3,'DOE Fuel Esc Rates'!N119,IF('General Data'!$H$21=4,'DOE Fuel Esc Rates'!N156,IF('General Data'!$H$21=5,'DOE Fuel Esc Rates'!N193,"")))))</f>
        <v>Electric</v>
      </c>
      <c r="O415" s="45" t="str">
        <f>IF('General Data'!$H$21=1,'DOE Fuel Esc Rates'!O45,IF('General Data'!$H$21=2,'DOE Fuel Esc Rates'!O82,IF('General Data'!$H$21=3,'DOE Fuel Esc Rates'!O119,IF('General Data'!$H$21=4,'DOE Fuel Esc Rates'!O156,IF('General Data'!$H$21=5,'DOE Fuel Esc Rates'!O193,"")))))</f>
        <v>Dist</v>
      </c>
      <c r="P415" s="45" t="str">
        <f>IF('General Data'!$H$21=1,'DOE Fuel Esc Rates'!P45,IF('General Data'!$H$21=2,'DOE Fuel Esc Rates'!P82,IF('General Data'!$H$21=3,'DOE Fuel Esc Rates'!P119,IF('General Data'!$H$21=4,'DOE Fuel Esc Rates'!P156,IF('General Data'!$H$21=5,'DOE Fuel Esc Rates'!P193,"")))))</f>
        <v>Resid</v>
      </c>
      <c r="Q415" s="45" t="str">
        <f>IF('General Data'!$H$21=1,'DOE Fuel Esc Rates'!Q45,IF('General Data'!$H$21=2,'DOE Fuel Esc Rates'!Q82,IF('General Data'!$H$21=3,'DOE Fuel Esc Rates'!Q119,IF('General Data'!$H$21=4,'DOE Fuel Esc Rates'!Q156,IF('General Data'!$H$21=5,'DOE Fuel Esc Rates'!Q193,"")))))</f>
        <v>Nat Gas</v>
      </c>
      <c r="R415" s="45" t="str">
        <f>IF('General Data'!$H$21=1,'DOE Fuel Esc Rates'!R45,IF('General Data'!$H$21=2,'DOE Fuel Esc Rates'!R82,IF('General Data'!$H$21=3,'DOE Fuel Esc Rates'!R119,IF('General Data'!$H$21=4,'DOE Fuel Esc Rates'!R156,IF('General Data'!$H$21=5,'DOE Fuel Esc Rates'!R193,"")))))</f>
        <v>Coal</v>
      </c>
      <c r="S415" s="44"/>
      <c r="T415" s="45" t="str">
        <f>A415</f>
        <v>Year</v>
      </c>
    </row>
    <row r="416" spans="1:20" x14ac:dyDescent="0.2">
      <c r="A416" s="45">
        <f>IF('General Data'!$H$21=1,'DOE Fuel Esc Rates'!A46,IF('General Data'!$H$21=2,'DOE Fuel Esc Rates'!A83,IF('General Data'!$H$21=3,'DOE Fuel Esc Rates'!A120,IF('General Data'!$H$21=4,'DOE Fuel Esc Rates'!A157,IF('General Data'!$H$21=5,'DOE Fuel Esc Rates'!A194,"")))))</f>
        <v>1</v>
      </c>
      <c r="B416" s="44"/>
      <c r="C416" s="47">
        <f>IF('General Data'!$H$21=1,'DOE Fuel Esc Rates'!C46,IF('General Data'!$H$21=2,'DOE Fuel Esc Rates'!C83,IF('General Data'!$H$21=3,'DOE Fuel Esc Rates'!C120,IF('General Data'!$H$21=4,'DOE Fuel Esc Rates'!C157,IF('General Data'!$H$21=5,'DOE Fuel Esc Rates'!C194,"")))))</f>
        <v>3.3475177304964632E-2</v>
      </c>
      <c r="D416" s="47">
        <f>IF('General Data'!$H$21=1,'DOE Fuel Esc Rates'!D46,IF('General Data'!$H$21=2,'DOE Fuel Esc Rates'!D83,IF('General Data'!$H$21=3,'DOE Fuel Esc Rates'!D120,IF('General Data'!$H$21=4,'DOE Fuel Esc Rates'!D157,IF('General Data'!$H$21=5,'DOE Fuel Esc Rates'!D194,"")))))</f>
        <v>-1.591895803183796E-2</v>
      </c>
      <c r="E416" s="47">
        <f>IF('General Data'!$H$21=1,'DOE Fuel Esc Rates'!E46,IF('General Data'!$H$21=2,'DOE Fuel Esc Rates'!E83,IF('General Data'!$H$21=3,'DOE Fuel Esc Rates'!E120,IF('General Data'!$H$21=4,'DOE Fuel Esc Rates'!E157,IF('General Data'!$H$21=5,'DOE Fuel Esc Rates'!E194,"")))))</f>
        <v>-2.9053420805998154E-2</v>
      </c>
      <c r="F416" s="47">
        <f>IF('General Data'!$H$21=1,'DOE Fuel Esc Rates'!F46,IF('General Data'!$H$21=2,'DOE Fuel Esc Rates'!F83,IF('General Data'!$H$21=3,'DOE Fuel Esc Rates'!F120,IF('General Data'!$H$21=4,'DOE Fuel Esc Rates'!F157,IF('General Data'!$H$21=5,'DOE Fuel Esc Rates'!F194,"")))))</f>
        <v>1.0281627179257846E-2</v>
      </c>
      <c r="G416" s="44"/>
      <c r="H416" s="47">
        <f>IF('General Data'!$H$21=1,'DOE Fuel Esc Rates'!H46,IF('General Data'!$H$21=2,'DOE Fuel Esc Rates'!H83,IF('General Data'!$H$21=3,'DOE Fuel Esc Rates'!H120,IF('General Data'!$H$21=4,'DOE Fuel Esc Rates'!H157,IF('General Data'!$H$21=5,'DOE Fuel Esc Rates'!H194,"")))))</f>
        <v>2.7786548784338283E-2</v>
      </c>
      <c r="I416" s="47">
        <f>IF('General Data'!$H$21=1,'DOE Fuel Esc Rates'!I46,IF('General Data'!$H$21=2,'DOE Fuel Esc Rates'!I83,IF('General Data'!$H$21=3,'DOE Fuel Esc Rates'!I120,IF('General Data'!$H$21=4,'DOE Fuel Esc Rates'!I157,IF('General Data'!$H$21=5,'DOE Fuel Esc Rates'!I194,"")))))</f>
        <v>-1.6765285996055201E-2</v>
      </c>
      <c r="J416" s="47">
        <f>IF('General Data'!$H$21=1,'DOE Fuel Esc Rates'!J46,IF('General Data'!$H$21=2,'DOE Fuel Esc Rates'!J83,IF('General Data'!$H$21=3,'DOE Fuel Esc Rates'!J120,IF('General Data'!$H$21=4,'DOE Fuel Esc Rates'!J157,IF('General Data'!$H$21=5,'DOE Fuel Esc Rates'!J194,"")))))</f>
        <v>8.1716036772216949E-3</v>
      </c>
      <c r="K416" s="47">
        <f>IF('General Data'!$H$21=1,'DOE Fuel Esc Rates'!K46,IF('General Data'!$H$21=2,'DOE Fuel Esc Rates'!K83,IF('General Data'!$H$21=3,'DOE Fuel Esc Rates'!K120,IF('General Data'!$H$21=4,'DOE Fuel Esc Rates'!K157,IF('General Data'!$H$21=5,'DOE Fuel Esc Rates'!K194,"")))))</f>
        <v>1.2387387387387427E-2</v>
      </c>
      <c r="L416" s="47">
        <f>IF('General Data'!$H$21=1,'DOE Fuel Esc Rates'!L46,IF('General Data'!$H$21=2,'DOE Fuel Esc Rates'!L83,IF('General Data'!$H$21=3,'DOE Fuel Esc Rates'!L120,IF('General Data'!$H$21=4,'DOE Fuel Esc Rates'!L157,IF('General Data'!$H$21=5,'DOE Fuel Esc Rates'!L194,"")))))</f>
        <v>2.244389027431426E-2</v>
      </c>
      <c r="M416" s="44"/>
      <c r="N416" s="47">
        <f>IF('General Data'!$H$21=1,'DOE Fuel Esc Rates'!N46,IF('General Data'!$H$21=2,'DOE Fuel Esc Rates'!N83,IF('General Data'!$H$21=3,'DOE Fuel Esc Rates'!N120,IF('General Data'!$H$21=4,'DOE Fuel Esc Rates'!N157,IF('General Data'!$H$21=5,'DOE Fuel Esc Rates'!N194,"")))))</f>
        <v>1.9665683382497523E-2</v>
      </c>
      <c r="O416" s="47">
        <f>IF('General Data'!$H$21=1,'DOE Fuel Esc Rates'!O46,IF('General Data'!$H$21=2,'DOE Fuel Esc Rates'!O83,IF('General Data'!$H$21=3,'DOE Fuel Esc Rates'!O120,IF('General Data'!$H$21=4,'DOE Fuel Esc Rates'!O157,IF('General Data'!$H$21=5,'DOE Fuel Esc Rates'!O194,"")))))</f>
        <v>-1.6216216216216273E-2</v>
      </c>
      <c r="P416" s="47">
        <f>IF('General Data'!$H$21=1,'DOE Fuel Esc Rates'!P46,IF('General Data'!$H$21=2,'DOE Fuel Esc Rates'!P83,IF('General Data'!$H$21=3,'DOE Fuel Esc Rates'!P120,IF('General Data'!$H$21=4,'DOE Fuel Esc Rates'!P157,IF('General Data'!$H$21=5,'DOE Fuel Esc Rates'!P194,"")))))</f>
        <v>9.2592592592593004E-3</v>
      </c>
      <c r="Q416" s="47">
        <f>IF('General Data'!$H$21=1,'DOE Fuel Esc Rates'!Q46,IF('General Data'!$H$21=2,'DOE Fuel Esc Rates'!Q83,IF('General Data'!$H$21=3,'DOE Fuel Esc Rates'!Q120,IF('General Data'!$H$21=4,'DOE Fuel Esc Rates'!Q157,IF('General Data'!$H$21=5,'DOE Fuel Esc Rates'!Q194,"")))))</f>
        <v>-1.1605415860734936E-2</v>
      </c>
      <c r="R416" s="47">
        <f>IF('General Data'!$H$21=1,'DOE Fuel Esc Rates'!R46,IF('General Data'!$H$21=2,'DOE Fuel Esc Rates'!R83,IF('General Data'!$H$21=3,'DOE Fuel Esc Rates'!R120,IF('General Data'!$H$21=4,'DOE Fuel Esc Rates'!R157,IF('General Data'!$H$21=5,'DOE Fuel Esc Rates'!R194,"")))))</f>
        <v>2.7874564459930307E-2</v>
      </c>
      <c r="S416" s="44"/>
      <c r="T416" s="45">
        <f t="shared" ref="T416:T445" si="13">A416</f>
        <v>1</v>
      </c>
    </row>
    <row r="417" spans="1:20" x14ac:dyDescent="0.2">
      <c r="A417" s="45">
        <f>IF('General Data'!$H$21=1,'DOE Fuel Esc Rates'!A47,IF('General Data'!$H$21=2,'DOE Fuel Esc Rates'!A84,IF('General Data'!$H$21=3,'DOE Fuel Esc Rates'!A121,IF('General Data'!$H$21=4,'DOE Fuel Esc Rates'!A158,IF('General Data'!$H$21=5,'DOE Fuel Esc Rates'!A195,"")))))</f>
        <v>2</v>
      </c>
      <c r="B417" s="44"/>
      <c r="C417" s="47">
        <f>IF('General Data'!$H$21=1,'DOE Fuel Esc Rates'!C47,IF('General Data'!$H$21=2,'DOE Fuel Esc Rates'!C84,IF('General Data'!$H$21=3,'DOE Fuel Esc Rates'!C121,IF('General Data'!$H$21=4,'DOE Fuel Esc Rates'!C158,IF('General Data'!$H$21=5,'DOE Fuel Esc Rates'!C195,"")))))</f>
        <v>1.7567938512215164E-2</v>
      </c>
      <c r="D417" s="47">
        <f>IF('General Data'!$H$21=1,'DOE Fuel Esc Rates'!D47,IF('General Data'!$H$21=2,'DOE Fuel Esc Rates'!D84,IF('General Data'!$H$21=3,'DOE Fuel Esc Rates'!D121,IF('General Data'!$H$21=4,'DOE Fuel Esc Rates'!D158,IF('General Data'!$H$21=5,'DOE Fuel Esc Rates'!D195,"")))))</f>
        <v>2.0098039215686203E-2</v>
      </c>
      <c r="E417" s="47">
        <f>IF('General Data'!$H$21=1,'DOE Fuel Esc Rates'!E47,IF('General Data'!$H$21=2,'DOE Fuel Esc Rates'!E84,IF('General Data'!$H$21=3,'DOE Fuel Esc Rates'!E121,IF('General Data'!$H$21=4,'DOE Fuel Esc Rates'!E158,IF('General Data'!$H$21=5,'DOE Fuel Esc Rates'!E195,"")))))</f>
        <v>-9.6525096525090781E-4</v>
      </c>
      <c r="F417" s="47">
        <f>IF('General Data'!$H$21=1,'DOE Fuel Esc Rates'!F47,IF('General Data'!$H$21=2,'DOE Fuel Esc Rates'!F84,IF('General Data'!$H$21=3,'DOE Fuel Esc Rates'!F121,IF('General Data'!$H$21=4,'DOE Fuel Esc Rates'!F158,IF('General Data'!$H$21=5,'DOE Fuel Esc Rates'!F195,"")))))</f>
        <v>2.7876106194690164E-2</v>
      </c>
      <c r="G417" s="44"/>
      <c r="H417" s="47">
        <f>IF('General Data'!$H$21=1,'DOE Fuel Esc Rates'!H47,IF('General Data'!$H$21=2,'DOE Fuel Esc Rates'!H84,IF('General Data'!$H$21=3,'DOE Fuel Esc Rates'!H121,IF('General Data'!$H$21=4,'DOE Fuel Esc Rates'!H158,IF('General Data'!$H$21=5,'DOE Fuel Esc Rates'!H195,"")))))</f>
        <v>1.3824884792626779E-2</v>
      </c>
      <c r="I417" s="47">
        <f>IF('General Data'!$H$21=1,'DOE Fuel Esc Rates'!I47,IF('General Data'!$H$21=2,'DOE Fuel Esc Rates'!I84,IF('General Data'!$H$21=3,'DOE Fuel Esc Rates'!I121,IF('General Data'!$H$21=4,'DOE Fuel Esc Rates'!I158,IF('General Data'!$H$21=5,'DOE Fuel Esc Rates'!I195,"")))))</f>
        <v>4.2627883650952825E-2</v>
      </c>
      <c r="J417" s="47">
        <f>IF('General Data'!$H$21=1,'DOE Fuel Esc Rates'!J47,IF('General Data'!$H$21=2,'DOE Fuel Esc Rates'!J84,IF('General Data'!$H$21=3,'DOE Fuel Esc Rates'!J121,IF('General Data'!$H$21=4,'DOE Fuel Esc Rates'!J158,IF('General Data'!$H$21=5,'DOE Fuel Esc Rates'!J195,"")))))</f>
        <v>9.6251266464032481E-2</v>
      </c>
      <c r="K417" s="47">
        <f>IF('General Data'!$H$21=1,'DOE Fuel Esc Rates'!K47,IF('General Data'!$H$21=2,'DOE Fuel Esc Rates'!K84,IF('General Data'!$H$21=3,'DOE Fuel Esc Rates'!K121,IF('General Data'!$H$21=4,'DOE Fuel Esc Rates'!K158,IF('General Data'!$H$21=5,'DOE Fuel Esc Rates'!K195,"")))))</f>
        <v>1.1123470522802492E-3</v>
      </c>
      <c r="L417" s="47">
        <f>IF('General Data'!$H$21=1,'DOE Fuel Esc Rates'!L47,IF('General Data'!$H$21=2,'DOE Fuel Esc Rates'!L84,IF('General Data'!$H$21=3,'DOE Fuel Esc Rates'!L121,IF('General Data'!$H$21=4,'DOE Fuel Esc Rates'!L158,IF('General Data'!$H$21=5,'DOE Fuel Esc Rates'!L195,"")))))</f>
        <v>1.7073170731707332E-2</v>
      </c>
      <c r="M417" s="44"/>
      <c r="N417" s="47">
        <f>IF('General Data'!$H$21=1,'DOE Fuel Esc Rates'!N47,IF('General Data'!$H$21=2,'DOE Fuel Esc Rates'!N84,IF('General Data'!$H$21=3,'DOE Fuel Esc Rates'!N121,IF('General Data'!$H$21=4,'DOE Fuel Esc Rates'!N158,IF('General Data'!$H$21=5,'DOE Fuel Esc Rates'!N195,"")))))</f>
        <v>3.3751205400192053E-3</v>
      </c>
      <c r="O417" s="47">
        <f>IF('General Data'!$H$21=1,'DOE Fuel Esc Rates'!O47,IF('General Data'!$H$21=2,'DOE Fuel Esc Rates'!O84,IF('General Data'!$H$21=3,'DOE Fuel Esc Rates'!O121,IF('General Data'!$H$21=4,'DOE Fuel Esc Rates'!O158,IF('General Data'!$H$21=5,'DOE Fuel Esc Rates'!O195,"")))))</f>
        <v>1.1488511488511488E-2</v>
      </c>
      <c r="P417" s="47">
        <f>IF('General Data'!$H$21=1,'DOE Fuel Esc Rates'!P47,IF('General Data'!$H$21=2,'DOE Fuel Esc Rates'!P84,IF('General Data'!$H$21=3,'DOE Fuel Esc Rates'!P121,IF('General Data'!$H$21=4,'DOE Fuel Esc Rates'!P158,IF('General Data'!$H$21=5,'DOE Fuel Esc Rates'!P195,"")))))</f>
        <v>9.6839959225280214E-2</v>
      </c>
      <c r="Q417" s="47">
        <f>IF('General Data'!$H$21=1,'DOE Fuel Esc Rates'!Q47,IF('General Data'!$H$21=2,'DOE Fuel Esc Rates'!Q84,IF('General Data'!$H$21=3,'DOE Fuel Esc Rates'!Q121,IF('General Data'!$H$21=4,'DOE Fuel Esc Rates'!Q158,IF('General Data'!$H$21=5,'DOE Fuel Esc Rates'!Q195,"")))))</f>
        <v>5.2837573385518422E-2</v>
      </c>
      <c r="R417" s="47">
        <f>IF('General Data'!$H$21=1,'DOE Fuel Esc Rates'!R47,IF('General Data'!$H$21=2,'DOE Fuel Esc Rates'!R84,IF('General Data'!$H$21=3,'DOE Fuel Esc Rates'!R121,IF('General Data'!$H$21=4,'DOE Fuel Esc Rates'!R158,IF('General Data'!$H$21=5,'DOE Fuel Esc Rates'!R195,"")))))</f>
        <v>6.7796610169492677E-3</v>
      </c>
      <c r="S417" s="44"/>
      <c r="T417" s="45">
        <f t="shared" si="13"/>
        <v>2</v>
      </c>
    </row>
    <row r="418" spans="1:20" x14ac:dyDescent="0.2">
      <c r="A418" s="45">
        <f>IF('General Data'!$H$21=1,'DOE Fuel Esc Rates'!A48,IF('General Data'!$H$21=2,'DOE Fuel Esc Rates'!A85,IF('General Data'!$H$21=3,'DOE Fuel Esc Rates'!A122,IF('General Data'!$H$21=4,'DOE Fuel Esc Rates'!A159,IF('General Data'!$H$21=5,'DOE Fuel Esc Rates'!A196,"")))))</f>
        <v>3</v>
      </c>
      <c r="B418" s="44"/>
      <c r="C418" s="47">
        <f>IF('General Data'!$H$21=1,'DOE Fuel Esc Rates'!C48,IF('General Data'!$H$21=2,'DOE Fuel Esc Rates'!C85,IF('General Data'!$H$21=3,'DOE Fuel Esc Rates'!C122,IF('General Data'!$H$21=4,'DOE Fuel Esc Rates'!C159,IF('General Data'!$H$21=5,'DOE Fuel Esc Rates'!C196,"")))))</f>
        <v>-7.0137577555974273E-3</v>
      </c>
      <c r="D418" s="47">
        <f>IF('General Data'!$H$21=1,'DOE Fuel Esc Rates'!D48,IF('General Data'!$H$21=2,'DOE Fuel Esc Rates'!D85,IF('General Data'!$H$21=3,'DOE Fuel Esc Rates'!D122,IF('General Data'!$H$21=4,'DOE Fuel Esc Rates'!D159,IF('General Data'!$H$21=5,'DOE Fuel Esc Rates'!D196,"")))))</f>
        <v>4.8053820278726178E-4</v>
      </c>
      <c r="E418" s="47">
        <f>IF('General Data'!$H$21=1,'DOE Fuel Esc Rates'!E48,IF('General Data'!$H$21=2,'DOE Fuel Esc Rates'!E85,IF('General Data'!$H$21=3,'DOE Fuel Esc Rates'!E122,IF('General Data'!$H$21=4,'DOE Fuel Esc Rates'!E159,IF('General Data'!$H$21=5,'DOE Fuel Esc Rates'!E196,"")))))</f>
        <v>1.2560386473430052E-2</v>
      </c>
      <c r="F418" s="47">
        <f>IF('General Data'!$H$21=1,'DOE Fuel Esc Rates'!F48,IF('General Data'!$H$21=2,'DOE Fuel Esc Rates'!F85,IF('General Data'!$H$21=3,'DOE Fuel Esc Rates'!F122,IF('General Data'!$H$21=4,'DOE Fuel Esc Rates'!F159,IF('General Data'!$H$21=5,'DOE Fuel Esc Rates'!F196,"")))))</f>
        <v>9.9009900990099098E-3</v>
      </c>
      <c r="G418" s="44"/>
      <c r="H418" s="47">
        <f>IF('General Data'!$H$21=1,'DOE Fuel Esc Rates'!H48,IF('General Data'!$H$21=2,'DOE Fuel Esc Rates'!H85,IF('General Data'!$H$21=3,'DOE Fuel Esc Rates'!H122,IF('General Data'!$H$21=4,'DOE Fuel Esc Rates'!H159,IF('General Data'!$H$21=5,'DOE Fuel Esc Rates'!H196,"")))))</f>
        <v>-1.0606060606060619E-2</v>
      </c>
      <c r="I418" s="47">
        <f>IF('General Data'!$H$21=1,'DOE Fuel Esc Rates'!I48,IF('General Data'!$H$21=2,'DOE Fuel Esc Rates'!I85,IF('General Data'!$H$21=3,'DOE Fuel Esc Rates'!I122,IF('General Data'!$H$21=4,'DOE Fuel Esc Rates'!I159,IF('General Data'!$H$21=5,'DOE Fuel Esc Rates'!I196,"")))))</f>
        <v>8.6580086580085869E-3</v>
      </c>
      <c r="J418" s="47">
        <f>IF('General Data'!$H$21=1,'DOE Fuel Esc Rates'!J48,IF('General Data'!$H$21=2,'DOE Fuel Esc Rates'!J85,IF('General Data'!$H$21=3,'DOE Fuel Esc Rates'!J122,IF('General Data'!$H$21=4,'DOE Fuel Esc Rates'!J159,IF('General Data'!$H$21=5,'DOE Fuel Esc Rates'!J196,"")))))</f>
        <v>1.8484288354898348E-2</v>
      </c>
      <c r="K418" s="47">
        <f>IF('General Data'!$H$21=1,'DOE Fuel Esc Rates'!K48,IF('General Data'!$H$21=2,'DOE Fuel Esc Rates'!K85,IF('General Data'!$H$21=3,'DOE Fuel Esc Rates'!K122,IF('General Data'!$H$21=4,'DOE Fuel Esc Rates'!K159,IF('General Data'!$H$21=5,'DOE Fuel Esc Rates'!K196,"")))))</f>
        <v>-1.1111111111110628E-3</v>
      </c>
      <c r="L418" s="47">
        <f>IF('General Data'!$H$21=1,'DOE Fuel Esc Rates'!L48,IF('General Data'!$H$21=2,'DOE Fuel Esc Rates'!L85,IF('General Data'!$H$21=3,'DOE Fuel Esc Rates'!L122,IF('General Data'!$H$21=4,'DOE Fuel Esc Rates'!L159,IF('General Data'!$H$21=5,'DOE Fuel Esc Rates'!L196,"")))))</f>
        <v>7.194244604316502E-3</v>
      </c>
      <c r="M418" s="44"/>
      <c r="N418" s="47">
        <f>IF('General Data'!$H$21=1,'DOE Fuel Esc Rates'!N48,IF('General Data'!$H$21=2,'DOE Fuel Esc Rates'!N85,IF('General Data'!$H$21=3,'DOE Fuel Esc Rates'!N122,IF('General Data'!$H$21=4,'DOE Fuel Esc Rates'!N159,IF('General Data'!$H$21=5,'DOE Fuel Esc Rates'!N196,"")))))</f>
        <v>-1.2493993272465032E-2</v>
      </c>
      <c r="O418" s="47">
        <f>IF('General Data'!$H$21=1,'DOE Fuel Esc Rates'!O48,IF('General Data'!$H$21=2,'DOE Fuel Esc Rates'!O85,IF('General Data'!$H$21=3,'DOE Fuel Esc Rates'!O122,IF('General Data'!$H$21=4,'DOE Fuel Esc Rates'!O159,IF('General Data'!$H$21=5,'DOE Fuel Esc Rates'!O196,"")))))</f>
        <v>0</v>
      </c>
      <c r="P418" s="47">
        <f>IF('General Data'!$H$21=1,'DOE Fuel Esc Rates'!P48,IF('General Data'!$H$21=2,'DOE Fuel Esc Rates'!P85,IF('General Data'!$H$21=3,'DOE Fuel Esc Rates'!P122,IF('General Data'!$H$21=4,'DOE Fuel Esc Rates'!P159,IF('General Data'!$H$21=5,'DOE Fuel Esc Rates'!P196,"")))))</f>
        <v>1.858736059479571E-2</v>
      </c>
      <c r="Q418" s="47">
        <f>IF('General Data'!$H$21=1,'DOE Fuel Esc Rates'!Q48,IF('General Data'!$H$21=2,'DOE Fuel Esc Rates'!Q85,IF('General Data'!$H$21=3,'DOE Fuel Esc Rates'!Q122,IF('General Data'!$H$21=4,'DOE Fuel Esc Rates'!Q159,IF('General Data'!$H$21=5,'DOE Fuel Esc Rates'!Q196,"")))))</f>
        <v>5.9479553903345694E-2</v>
      </c>
      <c r="R418" s="47">
        <f>IF('General Data'!$H$21=1,'DOE Fuel Esc Rates'!R48,IF('General Data'!$H$21=2,'DOE Fuel Esc Rates'!R85,IF('General Data'!$H$21=3,'DOE Fuel Esc Rates'!R122,IF('General Data'!$H$21=4,'DOE Fuel Esc Rates'!R159,IF('General Data'!$H$21=5,'DOE Fuel Esc Rates'!R196,"")))))</f>
        <v>-3.3670033670034627E-3</v>
      </c>
      <c r="S418" s="44"/>
      <c r="T418" s="45">
        <f t="shared" si="13"/>
        <v>3</v>
      </c>
    </row>
    <row r="419" spans="1:20" x14ac:dyDescent="0.2">
      <c r="A419" s="45">
        <f>IF('General Data'!$H$21=1,'DOE Fuel Esc Rates'!A49,IF('General Data'!$H$21=2,'DOE Fuel Esc Rates'!A86,IF('General Data'!$H$21=3,'DOE Fuel Esc Rates'!A123,IF('General Data'!$H$21=4,'DOE Fuel Esc Rates'!A160,IF('General Data'!$H$21=5,'DOE Fuel Esc Rates'!A197,"")))))</f>
        <v>4</v>
      </c>
      <c r="B419" s="44"/>
      <c r="C419" s="47">
        <f>IF('General Data'!$H$21=1,'DOE Fuel Esc Rates'!C49,IF('General Data'!$H$21=2,'DOE Fuel Esc Rates'!C86,IF('General Data'!$H$21=3,'DOE Fuel Esc Rates'!C123,IF('General Data'!$H$21=4,'DOE Fuel Esc Rates'!C160,IF('General Data'!$H$21=5,'DOE Fuel Esc Rates'!C197,"")))))</f>
        <v>-4.3466449334420565E-3</v>
      </c>
      <c r="D419" s="47">
        <f>IF('General Data'!$H$21=1,'DOE Fuel Esc Rates'!D49,IF('General Data'!$H$21=2,'DOE Fuel Esc Rates'!D86,IF('General Data'!$H$21=3,'DOE Fuel Esc Rates'!D123,IF('General Data'!$H$21=4,'DOE Fuel Esc Rates'!D160,IF('General Data'!$H$21=5,'DOE Fuel Esc Rates'!D197,"")))))</f>
        <v>1.1527377521613813E-2</v>
      </c>
      <c r="E419" s="47">
        <f>IF('General Data'!$H$21=1,'DOE Fuel Esc Rates'!E49,IF('General Data'!$H$21=2,'DOE Fuel Esc Rates'!E86,IF('General Data'!$H$21=3,'DOE Fuel Esc Rates'!E123,IF('General Data'!$H$21=4,'DOE Fuel Esc Rates'!E160,IF('General Data'!$H$21=5,'DOE Fuel Esc Rates'!E197,"")))))</f>
        <v>3.6259541984732691E-2</v>
      </c>
      <c r="F419" s="47">
        <f>IF('General Data'!$H$21=1,'DOE Fuel Esc Rates'!F49,IF('General Data'!$H$21=2,'DOE Fuel Esc Rates'!F86,IF('General Data'!$H$21=3,'DOE Fuel Esc Rates'!F123,IF('General Data'!$H$21=4,'DOE Fuel Esc Rates'!F160,IF('General Data'!$H$21=5,'DOE Fuel Esc Rates'!F197,"")))))</f>
        <v>7.6726342710997653E-3</v>
      </c>
      <c r="G419" s="44"/>
      <c r="H419" s="47">
        <f>IF('General Data'!$H$21=1,'DOE Fuel Esc Rates'!H49,IF('General Data'!$H$21=2,'DOE Fuel Esc Rates'!H86,IF('General Data'!$H$21=3,'DOE Fuel Esc Rates'!H123,IF('General Data'!$H$21=4,'DOE Fuel Esc Rates'!H160,IF('General Data'!$H$21=5,'DOE Fuel Esc Rates'!H197,"")))))</f>
        <v>-7.9632465543644226E-3</v>
      </c>
      <c r="I419" s="47">
        <f>IF('General Data'!$H$21=1,'DOE Fuel Esc Rates'!I49,IF('General Data'!$H$21=2,'DOE Fuel Esc Rates'!I86,IF('General Data'!$H$21=3,'DOE Fuel Esc Rates'!I123,IF('General Data'!$H$21=4,'DOE Fuel Esc Rates'!I160,IF('General Data'!$H$21=5,'DOE Fuel Esc Rates'!I197,"")))))</f>
        <v>1.2398664759179834E-2</v>
      </c>
      <c r="J419" s="47">
        <f>IF('General Data'!$H$21=1,'DOE Fuel Esc Rates'!J49,IF('General Data'!$H$21=2,'DOE Fuel Esc Rates'!J86,IF('General Data'!$H$21=3,'DOE Fuel Esc Rates'!J123,IF('General Data'!$H$21=4,'DOE Fuel Esc Rates'!J160,IF('General Data'!$H$21=5,'DOE Fuel Esc Rates'!J197,"")))))</f>
        <v>1.8148820326678861E-2</v>
      </c>
      <c r="K419" s="47">
        <f>IF('General Data'!$H$21=1,'DOE Fuel Esc Rates'!K49,IF('General Data'!$H$21=2,'DOE Fuel Esc Rates'!K86,IF('General Data'!$H$21=3,'DOE Fuel Esc Rates'!K123,IF('General Data'!$H$21=4,'DOE Fuel Esc Rates'!K160,IF('General Data'!$H$21=5,'DOE Fuel Esc Rates'!K197,"")))))</f>
        <v>3.6707452725250223E-2</v>
      </c>
      <c r="L419" s="47">
        <f>IF('General Data'!$H$21=1,'DOE Fuel Esc Rates'!L49,IF('General Data'!$H$21=2,'DOE Fuel Esc Rates'!L86,IF('General Data'!$H$21=3,'DOE Fuel Esc Rates'!L123,IF('General Data'!$H$21=4,'DOE Fuel Esc Rates'!L160,IF('General Data'!$H$21=5,'DOE Fuel Esc Rates'!L197,"")))))</f>
        <v>7.1428571428571175E-3</v>
      </c>
      <c r="M419" s="44"/>
      <c r="N419" s="47">
        <f>IF('General Data'!$H$21=1,'DOE Fuel Esc Rates'!N49,IF('General Data'!$H$21=2,'DOE Fuel Esc Rates'!N86,IF('General Data'!$H$21=3,'DOE Fuel Esc Rates'!N123,IF('General Data'!$H$21=4,'DOE Fuel Esc Rates'!N160,IF('General Data'!$H$21=5,'DOE Fuel Esc Rates'!N197,"")))))</f>
        <v>-3.4063260340633228E-3</v>
      </c>
      <c r="O419" s="47">
        <f>IF('General Data'!$H$21=1,'DOE Fuel Esc Rates'!O49,IF('General Data'!$H$21=2,'DOE Fuel Esc Rates'!O86,IF('General Data'!$H$21=3,'DOE Fuel Esc Rates'!O123,IF('General Data'!$H$21=4,'DOE Fuel Esc Rates'!O160,IF('General Data'!$H$21=5,'DOE Fuel Esc Rates'!O197,"")))))</f>
        <v>1.2345679012345734E-2</v>
      </c>
      <c r="P419" s="47">
        <f>IF('General Data'!$H$21=1,'DOE Fuel Esc Rates'!P49,IF('General Data'!$H$21=2,'DOE Fuel Esc Rates'!P86,IF('General Data'!$H$21=3,'DOE Fuel Esc Rates'!P123,IF('General Data'!$H$21=4,'DOE Fuel Esc Rates'!P160,IF('General Data'!$H$21=5,'DOE Fuel Esc Rates'!P197,"")))))</f>
        <v>1.8248175182481674E-2</v>
      </c>
      <c r="Q419" s="47">
        <f>IF('General Data'!$H$21=1,'DOE Fuel Esc Rates'!Q49,IF('General Data'!$H$21=2,'DOE Fuel Esc Rates'!Q86,IF('General Data'!$H$21=3,'DOE Fuel Esc Rates'!Q123,IF('General Data'!$H$21=4,'DOE Fuel Esc Rates'!Q160,IF('General Data'!$H$21=5,'DOE Fuel Esc Rates'!Q197,"")))))</f>
        <v>6.315789473684208E-2</v>
      </c>
      <c r="R419" s="47">
        <f>IF('General Data'!$H$21=1,'DOE Fuel Esc Rates'!R49,IF('General Data'!$H$21=2,'DOE Fuel Esc Rates'!R86,IF('General Data'!$H$21=3,'DOE Fuel Esc Rates'!R123,IF('General Data'!$H$21=4,'DOE Fuel Esc Rates'!R160,IF('General Data'!$H$21=5,'DOE Fuel Esc Rates'!R197,"")))))</f>
        <v>3.3783783783785104E-3</v>
      </c>
      <c r="S419" s="44"/>
      <c r="T419" s="45">
        <f t="shared" si="13"/>
        <v>4</v>
      </c>
    </row>
    <row r="420" spans="1:20" x14ac:dyDescent="0.2">
      <c r="A420" s="45">
        <f>IF('General Data'!$H$21=1,'DOE Fuel Esc Rates'!A50,IF('General Data'!$H$21=2,'DOE Fuel Esc Rates'!A87,IF('General Data'!$H$21=3,'DOE Fuel Esc Rates'!A124,IF('General Data'!$H$21=4,'DOE Fuel Esc Rates'!A161,IF('General Data'!$H$21=5,'DOE Fuel Esc Rates'!A198,"")))))</f>
        <v>5</v>
      </c>
      <c r="B420" s="44"/>
      <c r="C420" s="47">
        <f>IF('General Data'!$H$21=1,'DOE Fuel Esc Rates'!C50,IF('General Data'!$H$21=2,'DOE Fuel Esc Rates'!C87,IF('General Data'!$H$21=3,'DOE Fuel Esc Rates'!C124,IF('General Data'!$H$21=4,'DOE Fuel Esc Rates'!C161,IF('General Data'!$H$21=5,'DOE Fuel Esc Rates'!C198,"")))))</f>
        <v>5.7298772169167567E-3</v>
      </c>
      <c r="D420" s="47">
        <f>IF('General Data'!$H$21=1,'DOE Fuel Esc Rates'!D50,IF('General Data'!$H$21=2,'DOE Fuel Esc Rates'!D87,IF('General Data'!$H$21=3,'DOE Fuel Esc Rates'!D124,IF('General Data'!$H$21=4,'DOE Fuel Esc Rates'!D161,IF('General Data'!$H$21=5,'DOE Fuel Esc Rates'!D198,"")))))</f>
        <v>1.4245014245014342E-2</v>
      </c>
      <c r="E420" s="47">
        <f>IF('General Data'!$H$21=1,'DOE Fuel Esc Rates'!E50,IF('General Data'!$H$21=2,'DOE Fuel Esc Rates'!E87,IF('General Data'!$H$21=3,'DOE Fuel Esc Rates'!E124,IF('General Data'!$H$21=4,'DOE Fuel Esc Rates'!E161,IF('General Data'!$H$21=5,'DOE Fuel Esc Rates'!E198,"")))))</f>
        <v>4.3278084714548859E-2</v>
      </c>
      <c r="F420" s="47">
        <f>IF('General Data'!$H$21=1,'DOE Fuel Esc Rates'!F50,IF('General Data'!$H$21=2,'DOE Fuel Esc Rates'!F87,IF('General Data'!$H$21=3,'DOE Fuel Esc Rates'!F124,IF('General Data'!$H$21=4,'DOE Fuel Esc Rates'!F161,IF('General Data'!$H$21=5,'DOE Fuel Esc Rates'!F198,"")))))</f>
        <v>4.6531302876480218E-3</v>
      </c>
      <c r="G420" s="44"/>
      <c r="H420" s="47">
        <f>IF('General Data'!$H$21=1,'DOE Fuel Esc Rates'!H50,IF('General Data'!$H$21=2,'DOE Fuel Esc Rates'!H87,IF('General Data'!$H$21=3,'DOE Fuel Esc Rates'!H124,IF('General Data'!$H$21=4,'DOE Fuel Esc Rates'!H161,IF('General Data'!$H$21=5,'DOE Fuel Esc Rates'!H198,"")))))</f>
        <v>6.1747452917559897E-4</v>
      </c>
      <c r="I420" s="47">
        <f>IF('General Data'!$H$21=1,'DOE Fuel Esc Rates'!I50,IF('General Data'!$H$21=2,'DOE Fuel Esc Rates'!I87,IF('General Data'!$H$21=3,'DOE Fuel Esc Rates'!I124,IF('General Data'!$H$21=4,'DOE Fuel Esc Rates'!I161,IF('General Data'!$H$21=5,'DOE Fuel Esc Rates'!I198,"")))))</f>
        <v>1.4601978332548171E-2</v>
      </c>
      <c r="J420" s="47">
        <f>IF('General Data'!$H$21=1,'DOE Fuel Esc Rates'!J50,IF('General Data'!$H$21=2,'DOE Fuel Esc Rates'!J87,IF('General Data'!$H$21=3,'DOE Fuel Esc Rates'!J124,IF('General Data'!$H$21=4,'DOE Fuel Esc Rates'!J161,IF('General Data'!$H$21=5,'DOE Fuel Esc Rates'!J198,"")))))</f>
        <v>2.3172905525846721E-2</v>
      </c>
      <c r="K420" s="47">
        <f>IF('General Data'!$H$21=1,'DOE Fuel Esc Rates'!K50,IF('General Data'!$H$21=2,'DOE Fuel Esc Rates'!K87,IF('General Data'!$H$21=3,'DOE Fuel Esc Rates'!K124,IF('General Data'!$H$21=4,'DOE Fuel Esc Rates'!K161,IF('General Data'!$H$21=5,'DOE Fuel Esc Rates'!K198,"")))))</f>
        <v>4.7210300429184393E-2</v>
      </c>
      <c r="L420" s="47">
        <f>IF('General Data'!$H$21=1,'DOE Fuel Esc Rates'!L50,IF('General Data'!$H$21=2,'DOE Fuel Esc Rates'!L87,IF('General Data'!$H$21=3,'DOE Fuel Esc Rates'!L124,IF('General Data'!$H$21=4,'DOE Fuel Esc Rates'!L161,IF('General Data'!$H$21=5,'DOE Fuel Esc Rates'!L198,"")))))</f>
        <v>7.0921985815601829E-3</v>
      </c>
      <c r="M420" s="44"/>
      <c r="N420" s="47">
        <f>IF('General Data'!$H$21=1,'DOE Fuel Esc Rates'!N50,IF('General Data'!$H$21=2,'DOE Fuel Esc Rates'!N87,IF('General Data'!$H$21=3,'DOE Fuel Esc Rates'!N124,IF('General Data'!$H$21=4,'DOE Fuel Esc Rates'!N161,IF('General Data'!$H$21=5,'DOE Fuel Esc Rates'!N198,"")))))</f>
        <v>3.90625E-3</v>
      </c>
      <c r="O420" s="47">
        <f>IF('General Data'!$H$21=1,'DOE Fuel Esc Rates'!O50,IF('General Data'!$H$21=2,'DOE Fuel Esc Rates'!O87,IF('General Data'!$H$21=3,'DOE Fuel Esc Rates'!O124,IF('General Data'!$H$21=4,'DOE Fuel Esc Rates'!O161,IF('General Data'!$H$21=5,'DOE Fuel Esc Rates'!O198,"")))))</f>
        <v>1.609756097560977E-2</v>
      </c>
      <c r="P420" s="47">
        <f>IF('General Data'!$H$21=1,'DOE Fuel Esc Rates'!P50,IF('General Data'!$H$21=2,'DOE Fuel Esc Rates'!P87,IF('General Data'!$H$21=3,'DOE Fuel Esc Rates'!P124,IF('General Data'!$H$21=4,'DOE Fuel Esc Rates'!P161,IF('General Data'!$H$21=5,'DOE Fuel Esc Rates'!P198,"")))))</f>
        <v>2.3297491039426577E-2</v>
      </c>
      <c r="Q420" s="47">
        <f>IF('General Data'!$H$21=1,'DOE Fuel Esc Rates'!Q50,IF('General Data'!$H$21=2,'DOE Fuel Esc Rates'!Q87,IF('General Data'!$H$21=3,'DOE Fuel Esc Rates'!Q124,IF('General Data'!$H$21=4,'DOE Fuel Esc Rates'!Q161,IF('General Data'!$H$21=5,'DOE Fuel Esc Rates'!Q198,"")))))</f>
        <v>5.9405940594059459E-2</v>
      </c>
      <c r="R420" s="47">
        <f>IF('General Data'!$H$21=1,'DOE Fuel Esc Rates'!R50,IF('General Data'!$H$21=2,'DOE Fuel Esc Rates'!R87,IF('General Data'!$H$21=3,'DOE Fuel Esc Rates'!R124,IF('General Data'!$H$21=4,'DOE Fuel Esc Rates'!R161,IF('General Data'!$H$21=5,'DOE Fuel Esc Rates'!R198,"")))))</f>
        <v>1.0101010101009944E-2</v>
      </c>
      <c r="S420" s="44"/>
      <c r="T420" s="45">
        <f t="shared" si="13"/>
        <v>5</v>
      </c>
    </row>
    <row r="421" spans="1:20" x14ac:dyDescent="0.2">
      <c r="A421" s="45">
        <f>IF('General Data'!$H$21=1,'DOE Fuel Esc Rates'!A51,IF('General Data'!$H$21=2,'DOE Fuel Esc Rates'!A88,IF('General Data'!$H$21=3,'DOE Fuel Esc Rates'!A125,IF('General Data'!$H$21=4,'DOE Fuel Esc Rates'!A162,IF('General Data'!$H$21=5,'DOE Fuel Esc Rates'!A199,"")))))</f>
        <v>6</v>
      </c>
      <c r="B421" s="44"/>
      <c r="C421" s="47">
        <f>IF('General Data'!$H$21=1,'DOE Fuel Esc Rates'!C51,IF('General Data'!$H$21=2,'DOE Fuel Esc Rates'!C88,IF('General Data'!$H$21=3,'DOE Fuel Esc Rates'!C125,IF('General Data'!$H$21=4,'DOE Fuel Esc Rates'!C162,IF('General Data'!$H$21=5,'DOE Fuel Esc Rates'!C199,"")))))</f>
        <v>7.867607162235446E-3</v>
      </c>
      <c r="D421" s="47">
        <f>IF('General Data'!$H$21=1,'DOE Fuel Esc Rates'!D51,IF('General Data'!$H$21=2,'DOE Fuel Esc Rates'!D88,IF('General Data'!$H$21=3,'DOE Fuel Esc Rates'!D125,IF('General Data'!$H$21=4,'DOE Fuel Esc Rates'!D162,IF('General Data'!$H$21=5,'DOE Fuel Esc Rates'!D199,"")))))</f>
        <v>1.6853932584269593E-2</v>
      </c>
      <c r="E421" s="47">
        <f>IF('General Data'!$H$21=1,'DOE Fuel Esc Rates'!E51,IF('General Data'!$H$21=2,'DOE Fuel Esc Rates'!E88,IF('General Data'!$H$21=3,'DOE Fuel Esc Rates'!E125,IF('General Data'!$H$21=4,'DOE Fuel Esc Rates'!E162,IF('General Data'!$H$21=5,'DOE Fuel Esc Rates'!E199,"")))))</f>
        <v>3.2656663724624835E-2</v>
      </c>
      <c r="F421" s="47">
        <f>IF('General Data'!$H$21=1,'DOE Fuel Esc Rates'!F51,IF('General Data'!$H$21=2,'DOE Fuel Esc Rates'!F88,IF('General Data'!$H$21=3,'DOE Fuel Esc Rates'!F125,IF('General Data'!$H$21=4,'DOE Fuel Esc Rates'!F162,IF('General Data'!$H$21=5,'DOE Fuel Esc Rates'!F199,"")))))</f>
        <v>4.2105263157894424E-3</v>
      </c>
      <c r="G421" s="44"/>
      <c r="H421" s="47">
        <f>IF('General Data'!$H$21=1,'DOE Fuel Esc Rates'!H51,IF('General Data'!$H$21=2,'DOE Fuel Esc Rates'!H88,IF('General Data'!$H$21=3,'DOE Fuel Esc Rates'!H125,IF('General Data'!$H$21=4,'DOE Fuel Esc Rates'!H162,IF('General Data'!$H$21=5,'DOE Fuel Esc Rates'!H199,"")))))</f>
        <v>3.7025609379821578E-3</v>
      </c>
      <c r="I421" s="47">
        <f>IF('General Data'!$H$21=1,'DOE Fuel Esc Rates'!I51,IF('General Data'!$H$21=2,'DOE Fuel Esc Rates'!I88,IF('General Data'!$H$21=3,'DOE Fuel Esc Rates'!I125,IF('General Data'!$H$21=4,'DOE Fuel Esc Rates'!I162,IF('General Data'!$H$21=5,'DOE Fuel Esc Rates'!I199,"")))))</f>
        <v>1.7641597028783762E-2</v>
      </c>
      <c r="J421" s="47">
        <f>IF('General Data'!$H$21=1,'DOE Fuel Esc Rates'!J51,IF('General Data'!$H$21=2,'DOE Fuel Esc Rates'!J88,IF('General Data'!$H$21=3,'DOE Fuel Esc Rates'!J125,IF('General Data'!$H$21=4,'DOE Fuel Esc Rates'!J162,IF('General Data'!$H$21=5,'DOE Fuel Esc Rates'!J199,"")))))</f>
        <v>2.7874564459930307E-2</v>
      </c>
      <c r="K421" s="47">
        <f>IF('General Data'!$H$21=1,'DOE Fuel Esc Rates'!K51,IF('General Data'!$H$21=2,'DOE Fuel Esc Rates'!K88,IF('General Data'!$H$21=3,'DOE Fuel Esc Rates'!K125,IF('General Data'!$H$21=4,'DOE Fuel Esc Rates'!K162,IF('General Data'!$H$21=5,'DOE Fuel Esc Rates'!K199,"")))))</f>
        <v>3.5860655737704805E-2</v>
      </c>
      <c r="L421" s="47">
        <f>IF('General Data'!$H$21=1,'DOE Fuel Esc Rates'!L51,IF('General Data'!$H$21=2,'DOE Fuel Esc Rates'!L88,IF('General Data'!$H$21=3,'DOE Fuel Esc Rates'!L125,IF('General Data'!$H$21=4,'DOE Fuel Esc Rates'!L162,IF('General Data'!$H$21=5,'DOE Fuel Esc Rates'!L199,"")))))</f>
        <v>9.3896713615022609E-3</v>
      </c>
      <c r="M421" s="44"/>
      <c r="N421" s="47">
        <f>IF('General Data'!$H$21=1,'DOE Fuel Esc Rates'!N51,IF('General Data'!$H$21=2,'DOE Fuel Esc Rates'!N88,IF('General Data'!$H$21=3,'DOE Fuel Esc Rates'!N125,IF('General Data'!$H$21=4,'DOE Fuel Esc Rates'!N162,IF('General Data'!$H$21=5,'DOE Fuel Esc Rates'!N199,"")))))</f>
        <v>7.2957198443581728E-3</v>
      </c>
      <c r="O421" s="47">
        <f>IF('General Data'!$H$21=1,'DOE Fuel Esc Rates'!O51,IF('General Data'!$H$21=2,'DOE Fuel Esc Rates'!O88,IF('General Data'!$H$21=3,'DOE Fuel Esc Rates'!O125,IF('General Data'!$H$21=4,'DOE Fuel Esc Rates'!O162,IF('General Data'!$H$21=5,'DOE Fuel Esc Rates'!O199,"")))))</f>
        <v>1.8242918867018787E-2</v>
      </c>
      <c r="P421" s="47">
        <f>IF('General Data'!$H$21=1,'DOE Fuel Esc Rates'!P51,IF('General Data'!$H$21=2,'DOE Fuel Esc Rates'!P88,IF('General Data'!$H$21=3,'DOE Fuel Esc Rates'!P125,IF('General Data'!$H$21=4,'DOE Fuel Esc Rates'!P162,IF('General Data'!$H$21=5,'DOE Fuel Esc Rates'!P199,"")))))</f>
        <v>2.8021015761821477E-2</v>
      </c>
      <c r="Q421" s="47">
        <f>IF('General Data'!$H$21=1,'DOE Fuel Esc Rates'!Q51,IF('General Data'!$H$21=2,'DOE Fuel Esc Rates'!Q88,IF('General Data'!$H$21=3,'DOE Fuel Esc Rates'!Q125,IF('General Data'!$H$21=4,'DOE Fuel Esc Rates'!Q162,IF('General Data'!$H$21=5,'DOE Fuel Esc Rates'!Q199,"")))))</f>
        <v>4.3613707165109039E-2</v>
      </c>
      <c r="R421" s="47">
        <f>IF('General Data'!$H$21=1,'DOE Fuel Esc Rates'!R51,IF('General Data'!$H$21=2,'DOE Fuel Esc Rates'!R88,IF('General Data'!$H$21=3,'DOE Fuel Esc Rates'!R125,IF('General Data'!$H$21=4,'DOE Fuel Esc Rates'!R162,IF('General Data'!$H$21=5,'DOE Fuel Esc Rates'!R199,"")))))</f>
        <v>1.3333333333333419E-2</v>
      </c>
      <c r="S421" s="44"/>
      <c r="T421" s="45">
        <f t="shared" si="13"/>
        <v>6</v>
      </c>
    </row>
    <row r="422" spans="1:20" x14ac:dyDescent="0.2">
      <c r="A422" s="45">
        <f>IF('General Data'!$H$21=1,'DOE Fuel Esc Rates'!A52,IF('General Data'!$H$21=2,'DOE Fuel Esc Rates'!A89,IF('General Data'!$H$21=3,'DOE Fuel Esc Rates'!A126,IF('General Data'!$H$21=4,'DOE Fuel Esc Rates'!A163,IF('General Data'!$H$21=5,'DOE Fuel Esc Rates'!A200,"")))))</f>
        <v>7</v>
      </c>
      <c r="B422" s="44"/>
      <c r="C422" s="47">
        <f>IF('General Data'!$H$21=1,'DOE Fuel Esc Rates'!C52,IF('General Data'!$H$21=2,'DOE Fuel Esc Rates'!C89,IF('General Data'!$H$21=3,'DOE Fuel Esc Rates'!C126,IF('General Data'!$H$21=4,'DOE Fuel Esc Rates'!C163,IF('General Data'!$H$21=5,'DOE Fuel Esc Rates'!C200,"")))))</f>
        <v>5.3835800807537915E-3</v>
      </c>
      <c r="D422" s="47">
        <f>IF('General Data'!$H$21=1,'DOE Fuel Esc Rates'!D52,IF('General Data'!$H$21=2,'DOE Fuel Esc Rates'!D89,IF('General Data'!$H$21=3,'DOE Fuel Esc Rates'!D126,IF('General Data'!$H$21=4,'DOE Fuel Esc Rates'!D163,IF('General Data'!$H$21=5,'DOE Fuel Esc Rates'!D200,"")))))</f>
        <v>1.8876611418047862E-2</v>
      </c>
      <c r="E422" s="47">
        <f>IF('General Data'!$H$21=1,'DOE Fuel Esc Rates'!E52,IF('General Data'!$H$21=2,'DOE Fuel Esc Rates'!E89,IF('General Data'!$H$21=3,'DOE Fuel Esc Rates'!E126,IF('General Data'!$H$21=4,'DOE Fuel Esc Rates'!E163,IF('General Data'!$H$21=5,'DOE Fuel Esc Rates'!E200,"")))))</f>
        <v>1.8803418803418959E-2</v>
      </c>
      <c r="F422" s="47">
        <f>IF('General Data'!$H$21=1,'DOE Fuel Esc Rates'!F52,IF('General Data'!$H$21=2,'DOE Fuel Esc Rates'!F89,IF('General Data'!$H$21=3,'DOE Fuel Esc Rates'!F126,IF('General Data'!$H$21=4,'DOE Fuel Esc Rates'!F163,IF('General Data'!$H$21=5,'DOE Fuel Esc Rates'!F200,"")))))</f>
        <v>4.6121593291403862E-3</v>
      </c>
      <c r="G422" s="44"/>
      <c r="H422" s="47">
        <f>IF('General Data'!$H$21=1,'DOE Fuel Esc Rates'!H52,IF('General Data'!$H$21=2,'DOE Fuel Esc Rates'!H89,IF('General Data'!$H$21=3,'DOE Fuel Esc Rates'!H126,IF('General Data'!$H$21=4,'DOE Fuel Esc Rates'!H163,IF('General Data'!$H$21=5,'DOE Fuel Esc Rates'!H200,"")))))</f>
        <v>1.8444512757456177E-3</v>
      </c>
      <c r="I422" s="47">
        <f>IF('General Data'!$H$21=1,'DOE Fuel Esc Rates'!I52,IF('General Data'!$H$21=2,'DOE Fuel Esc Rates'!I89,IF('General Data'!$H$21=3,'DOE Fuel Esc Rates'!I126,IF('General Data'!$H$21=4,'DOE Fuel Esc Rates'!I163,IF('General Data'!$H$21=5,'DOE Fuel Esc Rates'!I200,"")))))</f>
        <v>2.1441605839416011E-2</v>
      </c>
      <c r="J422" s="47">
        <f>IF('General Data'!$H$21=1,'DOE Fuel Esc Rates'!J52,IF('General Data'!$H$21=2,'DOE Fuel Esc Rates'!J89,IF('General Data'!$H$21=3,'DOE Fuel Esc Rates'!J126,IF('General Data'!$H$21=4,'DOE Fuel Esc Rates'!J163,IF('General Data'!$H$21=5,'DOE Fuel Esc Rates'!J200,"")))))</f>
        <v>2.8813559322033777E-2</v>
      </c>
      <c r="K422" s="47">
        <f>IF('General Data'!$H$21=1,'DOE Fuel Esc Rates'!K52,IF('General Data'!$H$21=2,'DOE Fuel Esc Rates'!K89,IF('General Data'!$H$21=3,'DOE Fuel Esc Rates'!K126,IF('General Data'!$H$21=4,'DOE Fuel Esc Rates'!K163,IF('General Data'!$H$21=5,'DOE Fuel Esc Rates'!K200,"")))))</f>
        <v>2.0771513353115889E-2</v>
      </c>
      <c r="L422" s="47">
        <f>IF('General Data'!$H$21=1,'DOE Fuel Esc Rates'!L52,IF('General Data'!$H$21=2,'DOE Fuel Esc Rates'!L89,IF('General Data'!$H$21=3,'DOE Fuel Esc Rates'!L126,IF('General Data'!$H$21=4,'DOE Fuel Esc Rates'!L163,IF('General Data'!$H$21=5,'DOE Fuel Esc Rates'!L200,"")))))</f>
        <v>9.302325581395321E-3</v>
      </c>
      <c r="M422" s="44"/>
      <c r="N422" s="47">
        <f>IF('General Data'!$H$21=1,'DOE Fuel Esc Rates'!N52,IF('General Data'!$H$21=2,'DOE Fuel Esc Rates'!N89,IF('General Data'!$H$21=3,'DOE Fuel Esc Rates'!N126,IF('General Data'!$H$21=4,'DOE Fuel Esc Rates'!N163,IF('General Data'!$H$21=5,'DOE Fuel Esc Rates'!N200,"")))))</f>
        <v>4.3457267020763357E-3</v>
      </c>
      <c r="O422" s="47">
        <f>IF('General Data'!$H$21=1,'DOE Fuel Esc Rates'!O52,IF('General Data'!$H$21=2,'DOE Fuel Esc Rates'!O89,IF('General Data'!$H$21=3,'DOE Fuel Esc Rates'!O126,IF('General Data'!$H$21=4,'DOE Fuel Esc Rates'!O163,IF('General Data'!$H$21=5,'DOE Fuel Esc Rates'!O200,"")))))</f>
        <v>2.4516737388024401E-2</v>
      </c>
      <c r="P422" s="47">
        <f>IF('General Data'!$H$21=1,'DOE Fuel Esc Rates'!P52,IF('General Data'!$H$21=2,'DOE Fuel Esc Rates'!P89,IF('General Data'!$H$21=3,'DOE Fuel Esc Rates'!P126,IF('General Data'!$H$21=4,'DOE Fuel Esc Rates'!P163,IF('General Data'!$H$21=5,'DOE Fuel Esc Rates'!P200,"")))))</f>
        <v>2.8960817717206044E-2</v>
      </c>
      <c r="Q422" s="47">
        <f>IF('General Data'!$H$21=1,'DOE Fuel Esc Rates'!Q52,IF('General Data'!$H$21=2,'DOE Fuel Esc Rates'!Q89,IF('General Data'!$H$21=3,'DOE Fuel Esc Rates'!Q126,IF('General Data'!$H$21=4,'DOE Fuel Esc Rates'!Q163,IF('General Data'!$H$21=5,'DOE Fuel Esc Rates'!Q200,"")))))</f>
        <v>2.5373134328358304E-2</v>
      </c>
      <c r="R422" s="47">
        <f>IF('General Data'!$H$21=1,'DOE Fuel Esc Rates'!R52,IF('General Data'!$H$21=2,'DOE Fuel Esc Rates'!R89,IF('General Data'!$H$21=3,'DOE Fuel Esc Rates'!R126,IF('General Data'!$H$21=4,'DOE Fuel Esc Rates'!R163,IF('General Data'!$H$21=5,'DOE Fuel Esc Rates'!R200,"")))))</f>
        <v>9.8684210526314153E-3</v>
      </c>
      <c r="S422" s="44"/>
      <c r="T422" s="45">
        <f t="shared" si="13"/>
        <v>7</v>
      </c>
    </row>
    <row r="423" spans="1:20" x14ac:dyDescent="0.2">
      <c r="A423" s="45">
        <f>IF('General Data'!$H$21=1,'DOE Fuel Esc Rates'!A53,IF('General Data'!$H$21=2,'DOE Fuel Esc Rates'!A90,IF('General Data'!$H$21=3,'DOE Fuel Esc Rates'!A127,IF('General Data'!$H$21=4,'DOE Fuel Esc Rates'!A164,IF('General Data'!$H$21=5,'DOE Fuel Esc Rates'!A201,"")))))</f>
        <v>8</v>
      </c>
      <c r="B423" s="44"/>
      <c r="C423" s="47">
        <f>IF('General Data'!$H$21=1,'DOE Fuel Esc Rates'!C53,IF('General Data'!$H$21=2,'DOE Fuel Esc Rates'!C90,IF('General Data'!$H$21=3,'DOE Fuel Esc Rates'!C127,IF('General Data'!$H$21=4,'DOE Fuel Esc Rates'!C164,IF('General Data'!$H$21=5,'DOE Fuel Esc Rates'!C201,"")))))</f>
        <v>1.3386880856760541E-3</v>
      </c>
      <c r="D423" s="47">
        <f>IF('General Data'!$H$21=1,'DOE Fuel Esc Rates'!D53,IF('General Data'!$H$21=2,'DOE Fuel Esc Rates'!D90,IF('General Data'!$H$21=3,'DOE Fuel Esc Rates'!D127,IF('General Data'!$H$21=4,'DOE Fuel Esc Rates'!D164,IF('General Data'!$H$21=5,'DOE Fuel Esc Rates'!D201,"")))))</f>
        <v>1.9430637144148166E-2</v>
      </c>
      <c r="E423" s="47">
        <f>IF('General Data'!$H$21=1,'DOE Fuel Esc Rates'!E53,IF('General Data'!$H$21=2,'DOE Fuel Esc Rates'!E90,IF('General Data'!$H$21=3,'DOE Fuel Esc Rates'!E127,IF('General Data'!$H$21=4,'DOE Fuel Esc Rates'!E164,IF('General Data'!$H$21=5,'DOE Fuel Esc Rates'!E201,"")))))</f>
        <v>1.5100671140939603E-2</v>
      </c>
      <c r="F423" s="47">
        <f>IF('General Data'!$H$21=1,'DOE Fuel Esc Rates'!F53,IF('General Data'!$H$21=2,'DOE Fuel Esc Rates'!F90,IF('General Data'!$H$21=3,'DOE Fuel Esc Rates'!F127,IF('General Data'!$H$21=4,'DOE Fuel Esc Rates'!F164,IF('General Data'!$H$21=5,'DOE Fuel Esc Rates'!F201,"")))))</f>
        <v>6.2604340567611327E-3</v>
      </c>
      <c r="G423" s="44"/>
      <c r="H423" s="47">
        <f>IF('General Data'!$H$21=1,'DOE Fuel Esc Rates'!H53,IF('General Data'!$H$21=2,'DOE Fuel Esc Rates'!H90,IF('General Data'!$H$21=3,'DOE Fuel Esc Rates'!H127,IF('General Data'!$H$21=4,'DOE Fuel Esc Rates'!H164,IF('General Data'!$H$21=5,'DOE Fuel Esc Rates'!H201,"")))))</f>
        <v>-2.1478981282602172E-3</v>
      </c>
      <c r="I423" s="47">
        <f>IF('General Data'!$H$21=1,'DOE Fuel Esc Rates'!I53,IF('General Data'!$H$21=2,'DOE Fuel Esc Rates'!I90,IF('General Data'!$H$21=3,'DOE Fuel Esc Rates'!I127,IF('General Data'!$H$21=4,'DOE Fuel Esc Rates'!I164,IF('General Data'!$H$21=5,'DOE Fuel Esc Rates'!I201,"")))))</f>
        <v>2.0098258150960113E-2</v>
      </c>
      <c r="J423" s="47">
        <f>IF('General Data'!$H$21=1,'DOE Fuel Esc Rates'!J53,IF('General Data'!$H$21=2,'DOE Fuel Esc Rates'!J90,IF('General Data'!$H$21=3,'DOE Fuel Esc Rates'!J127,IF('General Data'!$H$21=4,'DOE Fuel Esc Rates'!J164,IF('General Data'!$H$21=5,'DOE Fuel Esc Rates'!J201,"")))))</f>
        <v>2.9654036243822013E-2</v>
      </c>
      <c r="K423" s="47">
        <f>IF('General Data'!$H$21=1,'DOE Fuel Esc Rates'!K53,IF('General Data'!$H$21=2,'DOE Fuel Esc Rates'!K90,IF('General Data'!$H$21=3,'DOE Fuel Esc Rates'!K127,IF('General Data'!$H$21=4,'DOE Fuel Esc Rates'!K164,IF('General Data'!$H$21=5,'DOE Fuel Esc Rates'!K201,"")))))</f>
        <v>1.744186046511631E-2</v>
      </c>
      <c r="L423" s="47">
        <f>IF('General Data'!$H$21=1,'DOE Fuel Esc Rates'!L53,IF('General Data'!$H$21=2,'DOE Fuel Esc Rates'!L90,IF('General Data'!$H$21=3,'DOE Fuel Esc Rates'!L127,IF('General Data'!$H$21=4,'DOE Fuel Esc Rates'!L164,IF('General Data'!$H$21=5,'DOE Fuel Esc Rates'!L201,"")))))</f>
        <v>9.2165898617511122E-3</v>
      </c>
      <c r="M423" s="44"/>
      <c r="N423" s="47">
        <f>IF('General Data'!$H$21=1,'DOE Fuel Esc Rates'!N53,IF('General Data'!$H$21=2,'DOE Fuel Esc Rates'!N90,IF('General Data'!$H$21=3,'DOE Fuel Esc Rates'!N127,IF('General Data'!$H$21=4,'DOE Fuel Esc Rates'!N164,IF('General Data'!$H$21=5,'DOE Fuel Esc Rates'!N201,"")))))</f>
        <v>2.8846153846153744E-3</v>
      </c>
      <c r="O423" s="47">
        <f>IF('General Data'!$H$21=1,'DOE Fuel Esc Rates'!O53,IF('General Data'!$H$21=2,'DOE Fuel Esc Rates'!O90,IF('General Data'!$H$21=3,'DOE Fuel Esc Rates'!O127,IF('General Data'!$H$21=4,'DOE Fuel Esc Rates'!O164,IF('General Data'!$H$21=5,'DOE Fuel Esc Rates'!O201,"")))))</f>
        <v>2.1629084215370353E-2</v>
      </c>
      <c r="P423" s="47">
        <f>IF('General Data'!$H$21=1,'DOE Fuel Esc Rates'!P53,IF('General Data'!$H$21=2,'DOE Fuel Esc Rates'!P90,IF('General Data'!$H$21=3,'DOE Fuel Esc Rates'!P127,IF('General Data'!$H$21=4,'DOE Fuel Esc Rates'!P164,IF('General Data'!$H$21=5,'DOE Fuel Esc Rates'!P201,"")))))</f>
        <v>2.9801324503311299E-2</v>
      </c>
      <c r="Q423" s="47">
        <f>IF('General Data'!$H$21=1,'DOE Fuel Esc Rates'!Q53,IF('General Data'!$H$21=2,'DOE Fuel Esc Rates'!Q90,IF('General Data'!$H$21=3,'DOE Fuel Esc Rates'!Q127,IF('General Data'!$H$21=4,'DOE Fuel Esc Rates'!Q164,IF('General Data'!$H$21=5,'DOE Fuel Esc Rates'!Q201,"")))))</f>
        <v>1.8922852983988436E-2</v>
      </c>
      <c r="R423" s="47">
        <f>IF('General Data'!$H$21=1,'DOE Fuel Esc Rates'!R53,IF('General Data'!$H$21=2,'DOE Fuel Esc Rates'!R90,IF('General Data'!$H$21=3,'DOE Fuel Esc Rates'!R127,IF('General Data'!$H$21=4,'DOE Fuel Esc Rates'!R164,IF('General Data'!$H$21=5,'DOE Fuel Esc Rates'!R201,"")))))</f>
        <v>1.3029315960912058E-2</v>
      </c>
      <c r="S423" s="44"/>
      <c r="T423" s="45">
        <f t="shared" si="13"/>
        <v>8</v>
      </c>
    </row>
    <row r="424" spans="1:20" x14ac:dyDescent="0.2">
      <c r="A424" s="45">
        <f>IF('General Data'!$H$21=1,'DOE Fuel Esc Rates'!A54,IF('General Data'!$H$21=2,'DOE Fuel Esc Rates'!A91,IF('General Data'!$H$21=3,'DOE Fuel Esc Rates'!A128,IF('General Data'!$H$21=4,'DOE Fuel Esc Rates'!A165,IF('General Data'!$H$21=5,'DOE Fuel Esc Rates'!A202,"")))))</f>
        <v>9</v>
      </c>
      <c r="B424" s="44"/>
      <c r="C424" s="47">
        <f>IF('General Data'!$H$21=1,'DOE Fuel Esc Rates'!C54,IF('General Data'!$H$21=2,'DOE Fuel Esc Rates'!C91,IF('General Data'!$H$21=3,'DOE Fuel Esc Rates'!C128,IF('General Data'!$H$21=4,'DOE Fuel Esc Rates'!C165,IF('General Data'!$H$21=5,'DOE Fuel Esc Rates'!C202,"")))))</f>
        <v>1.3368983957220415E-3</v>
      </c>
      <c r="D424" s="47">
        <f>IF('General Data'!$H$21=1,'DOE Fuel Esc Rates'!D54,IF('General Data'!$H$21=2,'DOE Fuel Esc Rates'!D91,IF('General Data'!$H$21=3,'DOE Fuel Esc Rates'!D128,IF('General Data'!$H$21=4,'DOE Fuel Esc Rates'!D165,IF('General Data'!$H$21=5,'DOE Fuel Esc Rates'!D202,"")))))</f>
        <v>1.9503546099290947E-2</v>
      </c>
      <c r="E424" s="47">
        <f>IF('General Data'!$H$21=1,'DOE Fuel Esc Rates'!E54,IF('General Data'!$H$21=2,'DOE Fuel Esc Rates'!E91,IF('General Data'!$H$21=3,'DOE Fuel Esc Rates'!E128,IF('General Data'!$H$21=4,'DOE Fuel Esc Rates'!E165,IF('General Data'!$H$21=5,'DOE Fuel Esc Rates'!E202,"")))))</f>
        <v>9.9173553719009711E-3</v>
      </c>
      <c r="F424" s="47">
        <f>IF('General Data'!$H$21=1,'DOE Fuel Esc Rates'!F54,IF('General Data'!$H$21=2,'DOE Fuel Esc Rates'!F91,IF('General Data'!$H$21=3,'DOE Fuel Esc Rates'!F128,IF('General Data'!$H$21=4,'DOE Fuel Esc Rates'!F165,IF('General Data'!$H$21=5,'DOE Fuel Esc Rates'!F202,"")))))</f>
        <v>5.806719203649946E-3</v>
      </c>
      <c r="G424" s="44"/>
      <c r="H424" s="47">
        <f>IF('General Data'!$H$21=1,'DOE Fuel Esc Rates'!H54,IF('General Data'!$H$21=2,'DOE Fuel Esc Rates'!H91,IF('General Data'!$H$21=3,'DOE Fuel Esc Rates'!H128,IF('General Data'!$H$21=4,'DOE Fuel Esc Rates'!H165,IF('General Data'!$H$21=5,'DOE Fuel Esc Rates'!H202,"")))))</f>
        <v>-2.4600246002461912E-3</v>
      </c>
      <c r="I424" s="47">
        <f>IF('General Data'!$H$21=1,'DOE Fuel Esc Rates'!I54,IF('General Data'!$H$21=2,'DOE Fuel Esc Rates'!I91,IF('General Data'!$H$21=3,'DOE Fuel Esc Rates'!I128,IF('General Data'!$H$21=4,'DOE Fuel Esc Rates'!I165,IF('General Data'!$H$21=5,'DOE Fuel Esc Rates'!I202,"")))))</f>
        <v>1.9702276707530553E-2</v>
      </c>
      <c r="J424" s="47">
        <f>IF('General Data'!$H$21=1,'DOE Fuel Esc Rates'!J54,IF('General Data'!$H$21=2,'DOE Fuel Esc Rates'!J91,IF('General Data'!$H$21=3,'DOE Fuel Esc Rates'!J128,IF('General Data'!$H$21=4,'DOE Fuel Esc Rates'!J165,IF('General Data'!$H$21=5,'DOE Fuel Esc Rates'!J202,"")))))</f>
        <v>2.9599999999999849E-2</v>
      </c>
      <c r="K424" s="47">
        <f>IF('General Data'!$H$21=1,'DOE Fuel Esc Rates'!K54,IF('General Data'!$H$21=2,'DOE Fuel Esc Rates'!K91,IF('General Data'!$H$21=3,'DOE Fuel Esc Rates'!K128,IF('General Data'!$H$21=4,'DOE Fuel Esc Rates'!K165,IF('General Data'!$H$21=5,'DOE Fuel Esc Rates'!K202,"")))))</f>
        <v>1.0476190476190528E-2</v>
      </c>
      <c r="L424" s="47">
        <f>IF('General Data'!$H$21=1,'DOE Fuel Esc Rates'!L54,IF('General Data'!$H$21=2,'DOE Fuel Esc Rates'!L91,IF('General Data'!$H$21=3,'DOE Fuel Esc Rates'!L128,IF('General Data'!$H$21=4,'DOE Fuel Esc Rates'!L165,IF('General Data'!$H$21=5,'DOE Fuel Esc Rates'!L202,"")))))</f>
        <v>1.3698630136986356E-2</v>
      </c>
      <c r="M424" s="44"/>
      <c r="N424" s="47">
        <f>IF('General Data'!$H$21=1,'DOE Fuel Esc Rates'!N54,IF('General Data'!$H$21=2,'DOE Fuel Esc Rates'!N91,IF('General Data'!$H$21=3,'DOE Fuel Esc Rates'!N128,IF('General Data'!$H$21=4,'DOE Fuel Esc Rates'!N165,IF('General Data'!$H$21=5,'DOE Fuel Esc Rates'!N202,"")))))</f>
        <v>9.5877277085332224E-4</v>
      </c>
      <c r="O424" s="47">
        <f>IF('General Data'!$H$21=1,'DOE Fuel Esc Rates'!O54,IF('General Data'!$H$21=2,'DOE Fuel Esc Rates'!O91,IF('General Data'!$H$21=3,'DOE Fuel Esc Rates'!O128,IF('General Data'!$H$21=4,'DOE Fuel Esc Rates'!O165,IF('General Data'!$H$21=5,'DOE Fuel Esc Rates'!O202,"")))))</f>
        <v>2.0270270270270174E-2</v>
      </c>
      <c r="P424" s="47">
        <f>IF('General Data'!$H$21=1,'DOE Fuel Esc Rates'!P54,IF('General Data'!$H$21=2,'DOE Fuel Esc Rates'!P91,IF('General Data'!$H$21=3,'DOE Fuel Esc Rates'!P128,IF('General Data'!$H$21=4,'DOE Fuel Esc Rates'!P165,IF('General Data'!$H$21=5,'DOE Fuel Esc Rates'!P202,"")))))</f>
        <v>2.9742765273311988E-2</v>
      </c>
      <c r="Q424" s="47">
        <f>IF('General Data'!$H$21=1,'DOE Fuel Esc Rates'!Q54,IF('General Data'!$H$21=2,'DOE Fuel Esc Rates'!Q91,IF('General Data'!$H$21=3,'DOE Fuel Esc Rates'!Q128,IF('General Data'!$H$21=4,'DOE Fuel Esc Rates'!Q165,IF('General Data'!$H$21=5,'DOE Fuel Esc Rates'!Q202,"")))))</f>
        <v>1.28571428571429E-2</v>
      </c>
      <c r="R424" s="47">
        <f>IF('General Data'!$H$21=1,'DOE Fuel Esc Rates'!R54,IF('General Data'!$H$21=2,'DOE Fuel Esc Rates'!R91,IF('General Data'!$H$21=3,'DOE Fuel Esc Rates'!R128,IF('General Data'!$H$21=4,'DOE Fuel Esc Rates'!R165,IF('General Data'!$H$21=5,'DOE Fuel Esc Rates'!R202,"")))))</f>
        <v>1.2861736334405238E-2</v>
      </c>
      <c r="S424" s="44"/>
      <c r="T424" s="45">
        <f t="shared" si="13"/>
        <v>9</v>
      </c>
    </row>
    <row r="425" spans="1:20" x14ac:dyDescent="0.2">
      <c r="A425" s="45">
        <f>IF('General Data'!$H$21=1,'DOE Fuel Esc Rates'!A55,IF('General Data'!$H$21=2,'DOE Fuel Esc Rates'!A92,IF('General Data'!$H$21=3,'DOE Fuel Esc Rates'!A129,IF('General Data'!$H$21=4,'DOE Fuel Esc Rates'!A166,IF('General Data'!$H$21=5,'DOE Fuel Esc Rates'!A203,"")))))</f>
        <v>10</v>
      </c>
      <c r="B425" s="44"/>
      <c r="C425" s="47">
        <f>IF('General Data'!$H$21=1,'DOE Fuel Esc Rates'!C55,IF('General Data'!$H$21=2,'DOE Fuel Esc Rates'!C92,IF('General Data'!$H$21=3,'DOE Fuel Esc Rates'!C129,IF('General Data'!$H$21=4,'DOE Fuel Esc Rates'!C166,IF('General Data'!$H$21=5,'DOE Fuel Esc Rates'!C203,"")))))</f>
        <v>5.8744993324433281E-3</v>
      </c>
      <c r="D425" s="47">
        <f>IF('General Data'!$H$21=1,'DOE Fuel Esc Rates'!D55,IF('General Data'!$H$21=2,'DOE Fuel Esc Rates'!D92,IF('General Data'!$H$21=3,'DOE Fuel Esc Rates'!D129,IF('General Data'!$H$21=4,'DOE Fuel Esc Rates'!D166,IF('General Data'!$H$21=5,'DOE Fuel Esc Rates'!D203,"")))))</f>
        <v>2.0000000000000018E-2</v>
      </c>
      <c r="E425" s="47">
        <f>IF('General Data'!$H$21=1,'DOE Fuel Esc Rates'!E55,IF('General Data'!$H$21=2,'DOE Fuel Esc Rates'!E92,IF('General Data'!$H$21=3,'DOE Fuel Esc Rates'!E129,IF('General Data'!$H$21=4,'DOE Fuel Esc Rates'!E166,IF('General Data'!$H$21=5,'DOE Fuel Esc Rates'!E203,"")))))</f>
        <v>1.7184942716857554E-2</v>
      </c>
      <c r="F425" s="47">
        <f>IF('General Data'!$H$21=1,'DOE Fuel Esc Rates'!F55,IF('General Data'!$H$21=2,'DOE Fuel Esc Rates'!F92,IF('General Data'!$H$21=3,'DOE Fuel Esc Rates'!F129,IF('General Data'!$H$21=4,'DOE Fuel Esc Rates'!F166,IF('General Data'!$H$21=5,'DOE Fuel Esc Rates'!F203,"")))))</f>
        <v>5.3608247422680666E-3</v>
      </c>
      <c r="G425" s="44"/>
      <c r="H425" s="47">
        <f>IF('General Data'!$H$21=1,'DOE Fuel Esc Rates'!H55,IF('General Data'!$H$21=2,'DOE Fuel Esc Rates'!H92,IF('General Data'!$H$21=3,'DOE Fuel Esc Rates'!H129,IF('General Data'!$H$21=4,'DOE Fuel Esc Rates'!H166,IF('General Data'!$H$21=5,'DOE Fuel Esc Rates'!H203,"")))))</f>
        <v>2.1578298397040285E-3</v>
      </c>
      <c r="I425" s="47">
        <f>IF('General Data'!$H$21=1,'DOE Fuel Esc Rates'!I55,IF('General Data'!$H$21=2,'DOE Fuel Esc Rates'!I92,IF('General Data'!$H$21=3,'DOE Fuel Esc Rates'!I129,IF('General Data'!$H$21=4,'DOE Fuel Esc Rates'!I166,IF('General Data'!$H$21=5,'DOE Fuel Esc Rates'!I203,"")))))</f>
        <v>2.0180334907685893E-2</v>
      </c>
      <c r="J425" s="47">
        <f>IF('General Data'!$H$21=1,'DOE Fuel Esc Rates'!J55,IF('General Data'!$H$21=2,'DOE Fuel Esc Rates'!J92,IF('General Data'!$H$21=3,'DOE Fuel Esc Rates'!J129,IF('General Data'!$H$21=4,'DOE Fuel Esc Rates'!J166,IF('General Data'!$H$21=5,'DOE Fuel Esc Rates'!J203,"")))))</f>
        <v>2.8749028749028849E-2</v>
      </c>
      <c r="K425" s="47">
        <f>IF('General Data'!$H$21=1,'DOE Fuel Esc Rates'!K55,IF('General Data'!$H$21=2,'DOE Fuel Esc Rates'!K92,IF('General Data'!$H$21=3,'DOE Fuel Esc Rates'!K129,IF('General Data'!$H$21=4,'DOE Fuel Esc Rates'!K166,IF('General Data'!$H$21=5,'DOE Fuel Esc Rates'!K203,"")))))</f>
        <v>1.6965127238454336E-2</v>
      </c>
      <c r="L425" s="47">
        <f>IF('General Data'!$H$21=1,'DOE Fuel Esc Rates'!L55,IF('General Data'!$H$21=2,'DOE Fuel Esc Rates'!L92,IF('General Data'!$H$21=3,'DOE Fuel Esc Rates'!L129,IF('General Data'!$H$21=4,'DOE Fuel Esc Rates'!L166,IF('General Data'!$H$21=5,'DOE Fuel Esc Rates'!L203,"")))))</f>
        <v>6.7567567567565767E-3</v>
      </c>
      <c r="M425" s="44"/>
      <c r="N425" s="47">
        <f>IF('General Data'!$H$21=1,'DOE Fuel Esc Rates'!N55,IF('General Data'!$H$21=2,'DOE Fuel Esc Rates'!N92,IF('General Data'!$H$21=3,'DOE Fuel Esc Rates'!N129,IF('General Data'!$H$21=4,'DOE Fuel Esc Rates'!N166,IF('General Data'!$H$21=5,'DOE Fuel Esc Rates'!N203,"")))))</f>
        <v>7.6628352490422103E-3</v>
      </c>
      <c r="O425" s="47">
        <f>IF('General Data'!$H$21=1,'DOE Fuel Esc Rates'!O55,IF('General Data'!$H$21=2,'DOE Fuel Esc Rates'!O92,IF('General Data'!$H$21=3,'DOE Fuel Esc Rates'!O129,IF('General Data'!$H$21=4,'DOE Fuel Esc Rates'!O166,IF('General Data'!$H$21=5,'DOE Fuel Esc Rates'!O203,"")))))</f>
        <v>2.1633554083885231E-2</v>
      </c>
      <c r="P425" s="47">
        <f>IF('General Data'!$H$21=1,'DOE Fuel Esc Rates'!P55,IF('General Data'!$H$21=2,'DOE Fuel Esc Rates'!P92,IF('General Data'!$H$21=3,'DOE Fuel Esc Rates'!P129,IF('General Data'!$H$21=4,'DOE Fuel Esc Rates'!P166,IF('General Data'!$H$21=5,'DOE Fuel Esc Rates'!P203,"")))))</f>
        <v>2.8883684621389571E-2</v>
      </c>
      <c r="Q425" s="47">
        <f>IF('General Data'!$H$21=1,'DOE Fuel Esc Rates'!Q55,IF('General Data'!$H$21=2,'DOE Fuel Esc Rates'!Q92,IF('General Data'!$H$21=3,'DOE Fuel Esc Rates'!Q129,IF('General Data'!$H$21=4,'DOE Fuel Esc Rates'!Q166,IF('General Data'!$H$21=5,'DOE Fuel Esc Rates'!Q203,"")))))</f>
        <v>2.3977433004231274E-2</v>
      </c>
      <c r="R425" s="47">
        <f>IF('General Data'!$H$21=1,'DOE Fuel Esc Rates'!R55,IF('General Data'!$H$21=2,'DOE Fuel Esc Rates'!R92,IF('General Data'!$H$21=3,'DOE Fuel Esc Rates'!R129,IF('General Data'!$H$21=4,'DOE Fuel Esc Rates'!R166,IF('General Data'!$H$21=5,'DOE Fuel Esc Rates'!R203,"")))))</f>
        <v>3.1746031746031633E-3</v>
      </c>
      <c r="S425" s="44"/>
      <c r="T425" s="45">
        <f t="shared" si="13"/>
        <v>10</v>
      </c>
    </row>
    <row r="426" spans="1:20" x14ac:dyDescent="0.2">
      <c r="A426" s="45">
        <f>IF('General Data'!$H$21=1,'DOE Fuel Esc Rates'!A56,IF('General Data'!$H$21=2,'DOE Fuel Esc Rates'!A93,IF('General Data'!$H$21=3,'DOE Fuel Esc Rates'!A130,IF('General Data'!$H$21=4,'DOE Fuel Esc Rates'!A167,IF('General Data'!$H$21=5,'DOE Fuel Esc Rates'!A204,"")))))</f>
        <v>11</v>
      </c>
      <c r="B426" s="44"/>
      <c r="C426" s="47">
        <f>IF('General Data'!$H$21=1,'DOE Fuel Esc Rates'!C56,IF('General Data'!$H$21=2,'DOE Fuel Esc Rates'!C93,IF('General Data'!$H$21=3,'DOE Fuel Esc Rates'!C130,IF('General Data'!$H$21=4,'DOE Fuel Esc Rates'!C167,IF('General Data'!$H$21=5,'DOE Fuel Esc Rates'!C204,"")))))</f>
        <v>5.3092646668435606E-3</v>
      </c>
      <c r="D426" s="47">
        <f>IF('General Data'!$H$21=1,'DOE Fuel Esc Rates'!D56,IF('General Data'!$H$21=2,'DOE Fuel Esc Rates'!D93,IF('General Data'!$H$21=3,'DOE Fuel Esc Rates'!D130,IF('General Data'!$H$21=4,'DOE Fuel Esc Rates'!D167,IF('General Data'!$H$21=5,'DOE Fuel Esc Rates'!D204,"")))))</f>
        <v>2.1312872975277175E-2</v>
      </c>
      <c r="E426" s="47">
        <f>IF('General Data'!$H$21=1,'DOE Fuel Esc Rates'!E56,IF('General Data'!$H$21=2,'DOE Fuel Esc Rates'!E93,IF('General Data'!$H$21=3,'DOE Fuel Esc Rates'!E130,IF('General Data'!$H$21=4,'DOE Fuel Esc Rates'!E167,IF('General Data'!$H$21=5,'DOE Fuel Esc Rates'!E204,"")))))</f>
        <v>1.9308125502815798E-2</v>
      </c>
      <c r="F426" s="47">
        <f>IF('General Data'!$H$21=1,'DOE Fuel Esc Rates'!F56,IF('General Data'!$H$21=2,'DOE Fuel Esc Rates'!F93,IF('General Data'!$H$21=3,'DOE Fuel Esc Rates'!F130,IF('General Data'!$H$21=4,'DOE Fuel Esc Rates'!F167,IF('General Data'!$H$21=5,'DOE Fuel Esc Rates'!F204,"")))))</f>
        <v>6.9729286300246329E-3</v>
      </c>
      <c r="G426" s="44"/>
      <c r="H426" s="47">
        <f>IF('General Data'!$H$21=1,'DOE Fuel Esc Rates'!H56,IF('General Data'!$H$21=2,'DOE Fuel Esc Rates'!H93,IF('General Data'!$H$21=3,'DOE Fuel Esc Rates'!H130,IF('General Data'!$H$21=4,'DOE Fuel Esc Rates'!H167,IF('General Data'!$H$21=5,'DOE Fuel Esc Rates'!H204,"")))))</f>
        <v>3.9987696093510827E-3</v>
      </c>
      <c r="I426" s="47">
        <f>IF('General Data'!$H$21=1,'DOE Fuel Esc Rates'!I56,IF('General Data'!$H$21=2,'DOE Fuel Esc Rates'!I93,IF('General Data'!$H$21=3,'DOE Fuel Esc Rates'!I130,IF('General Data'!$H$21=4,'DOE Fuel Esc Rates'!I167,IF('General Data'!$H$21=5,'DOE Fuel Esc Rates'!I204,"")))))</f>
        <v>2.0622895622895543E-2</v>
      </c>
      <c r="J426" s="47">
        <f>IF('General Data'!$H$21=1,'DOE Fuel Esc Rates'!J56,IF('General Data'!$H$21=2,'DOE Fuel Esc Rates'!J93,IF('General Data'!$H$21=3,'DOE Fuel Esc Rates'!J130,IF('General Data'!$H$21=4,'DOE Fuel Esc Rates'!J167,IF('General Data'!$H$21=5,'DOE Fuel Esc Rates'!J204,"")))))</f>
        <v>3.09667673716012E-2</v>
      </c>
      <c r="K426" s="47">
        <f>IF('General Data'!$H$21=1,'DOE Fuel Esc Rates'!K56,IF('General Data'!$H$21=2,'DOE Fuel Esc Rates'!K93,IF('General Data'!$H$21=3,'DOE Fuel Esc Rates'!K130,IF('General Data'!$H$21=4,'DOE Fuel Esc Rates'!K167,IF('General Data'!$H$21=5,'DOE Fuel Esc Rates'!K204,"")))))</f>
        <v>2.1316033364226161E-2</v>
      </c>
      <c r="L426" s="47">
        <f>IF('General Data'!$H$21=1,'DOE Fuel Esc Rates'!L56,IF('General Data'!$H$21=2,'DOE Fuel Esc Rates'!L93,IF('General Data'!$H$21=3,'DOE Fuel Esc Rates'!L130,IF('General Data'!$H$21=4,'DOE Fuel Esc Rates'!L167,IF('General Data'!$H$21=5,'DOE Fuel Esc Rates'!L204,"")))))</f>
        <v>4.4742729306488371E-3</v>
      </c>
      <c r="M426" s="44"/>
      <c r="N426" s="47">
        <f>IF('General Data'!$H$21=1,'DOE Fuel Esc Rates'!N56,IF('General Data'!$H$21=2,'DOE Fuel Esc Rates'!N93,IF('General Data'!$H$21=3,'DOE Fuel Esc Rates'!N130,IF('General Data'!$H$21=4,'DOE Fuel Esc Rates'!N167,IF('General Data'!$H$21=5,'DOE Fuel Esc Rates'!N204,"")))))</f>
        <v>6.6539923954371805E-3</v>
      </c>
      <c r="O426" s="47">
        <f>IF('General Data'!$H$21=1,'DOE Fuel Esc Rates'!O56,IF('General Data'!$H$21=2,'DOE Fuel Esc Rates'!O93,IF('General Data'!$H$21=3,'DOE Fuel Esc Rates'!O130,IF('General Data'!$H$21=4,'DOE Fuel Esc Rates'!O167,IF('General Data'!$H$21=5,'DOE Fuel Esc Rates'!O204,"")))))</f>
        <v>2.1175453759723295E-2</v>
      </c>
      <c r="P426" s="47">
        <f>IF('General Data'!$H$21=1,'DOE Fuel Esc Rates'!P56,IF('General Data'!$H$21=2,'DOE Fuel Esc Rates'!P93,IF('General Data'!$H$21=3,'DOE Fuel Esc Rates'!P130,IF('General Data'!$H$21=4,'DOE Fuel Esc Rates'!P167,IF('General Data'!$H$21=5,'DOE Fuel Esc Rates'!P204,"")))))</f>
        <v>3.0349013657056112E-2</v>
      </c>
      <c r="Q426" s="47">
        <f>IF('General Data'!$H$21=1,'DOE Fuel Esc Rates'!Q56,IF('General Data'!$H$21=2,'DOE Fuel Esc Rates'!Q93,IF('General Data'!$H$21=3,'DOE Fuel Esc Rates'!Q130,IF('General Data'!$H$21=4,'DOE Fuel Esc Rates'!Q167,IF('General Data'!$H$21=5,'DOE Fuel Esc Rates'!Q204,"")))))</f>
        <v>2.6170798898071723E-2</v>
      </c>
      <c r="R426" s="47">
        <f>IF('General Data'!$H$21=1,'DOE Fuel Esc Rates'!R56,IF('General Data'!$H$21=2,'DOE Fuel Esc Rates'!R93,IF('General Data'!$H$21=3,'DOE Fuel Esc Rates'!R130,IF('General Data'!$H$21=4,'DOE Fuel Esc Rates'!R167,IF('General Data'!$H$21=5,'DOE Fuel Esc Rates'!R204,"")))))</f>
        <v>3.1645569620253333E-3</v>
      </c>
      <c r="S426" s="44"/>
      <c r="T426" s="45">
        <f t="shared" si="13"/>
        <v>11</v>
      </c>
    </row>
    <row r="427" spans="1:20" x14ac:dyDescent="0.2">
      <c r="A427" s="45">
        <f>IF('General Data'!$H$21=1,'DOE Fuel Esc Rates'!A57,IF('General Data'!$H$21=2,'DOE Fuel Esc Rates'!A94,IF('General Data'!$H$21=3,'DOE Fuel Esc Rates'!A131,IF('General Data'!$H$21=4,'DOE Fuel Esc Rates'!A168,IF('General Data'!$H$21=5,'DOE Fuel Esc Rates'!A205,"")))))</f>
        <v>12</v>
      </c>
      <c r="B427" s="44"/>
      <c r="C427" s="47">
        <f>IF('General Data'!$H$21=1,'DOE Fuel Esc Rates'!C57,IF('General Data'!$H$21=2,'DOE Fuel Esc Rates'!C94,IF('General Data'!$H$21=3,'DOE Fuel Esc Rates'!C131,IF('General Data'!$H$21=4,'DOE Fuel Esc Rates'!C168,IF('General Data'!$H$21=5,'DOE Fuel Esc Rates'!C205,"")))))</f>
        <v>2.6406126221283355E-3</v>
      </c>
      <c r="D427" s="47">
        <f>IF('General Data'!$H$21=1,'DOE Fuel Esc Rates'!D57,IF('General Data'!$H$21=2,'DOE Fuel Esc Rates'!D94,IF('General Data'!$H$21=3,'DOE Fuel Esc Rates'!D131,IF('General Data'!$H$21=4,'DOE Fuel Esc Rates'!D168,IF('General Data'!$H$21=5,'DOE Fuel Esc Rates'!D205,"")))))</f>
        <v>2.2120200333889617E-2</v>
      </c>
      <c r="E427" s="47">
        <f>IF('General Data'!$H$21=1,'DOE Fuel Esc Rates'!E57,IF('General Data'!$H$21=2,'DOE Fuel Esc Rates'!E94,IF('General Data'!$H$21=3,'DOE Fuel Esc Rates'!E131,IF('General Data'!$H$21=4,'DOE Fuel Esc Rates'!E168,IF('General Data'!$H$21=5,'DOE Fuel Esc Rates'!E205,"")))))</f>
        <v>6.3141278610892027E-3</v>
      </c>
      <c r="F427" s="47">
        <f>IF('General Data'!$H$21=1,'DOE Fuel Esc Rates'!F57,IF('General Data'!$H$21=2,'DOE Fuel Esc Rates'!F94,IF('General Data'!$H$21=3,'DOE Fuel Esc Rates'!F131,IF('General Data'!$H$21=4,'DOE Fuel Esc Rates'!F168,IF('General Data'!$H$21=5,'DOE Fuel Esc Rates'!F205,"")))))</f>
        <v>6.109979633401208E-3</v>
      </c>
      <c r="G427" s="44"/>
      <c r="H427" s="47">
        <f>IF('General Data'!$H$21=1,'DOE Fuel Esc Rates'!H57,IF('General Data'!$H$21=2,'DOE Fuel Esc Rates'!H94,IF('General Data'!$H$21=3,'DOE Fuel Esc Rates'!H131,IF('General Data'!$H$21=4,'DOE Fuel Esc Rates'!H168,IF('General Data'!$H$21=5,'DOE Fuel Esc Rates'!H205,"")))))</f>
        <v>1.5318627450979783E-3</v>
      </c>
      <c r="I427" s="47">
        <f>IF('General Data'!$H$21=1,'DOE Fuel Esc Rates'!I57,IF('General Data'!$H$21=2,'DOE Fuel Esc Rates'!I94,IF('General Data'!$H$21=3,'DOE Fuel Esc Rates'!I131,IF('General Data'!$H$21=4,'DOE Fuel Esc Rates'!I168,IF('General Data'!$H$21=5,'DOE Fuel Esc Rates'!I205,"")))))</f>
        <v>2.1443298969072044E-2</v>
      </c>
      <c r="J427" s="47">
        <f>IF('General Data'!$H$21=1,'DOE Fuel Esc Rates'!J57,IF('General Data'!$H$21=2,'DOE Fuel Esc Rates'!J94,IF('General Data'!$H$21=3,'DOE Fuel Esc Rates'!J131,IF('General Data'!$H$21=4,'DOE Fuel Esc Rates'!J168,IF('General Data'!$H$21=5,'DOE Fuel Esc Rates'!J205,"")))))</f>
        <v>2.9304029304029422E-2</v>
      </c>
      <c r="K427" s="47">
        <f>IF('General Data'!$H$21=1,'DOE Fuel Esc Rates'!K57,IF('General Data'!$H$21=2,'DOE Fuel Esc Rates'!K94,IF('General Data'!$H$21=3,'DOE Fuel Esc Rates'!K131,IF('General Data'!$H$21=4,'DOE Fuel Esc Rates'!K168,IF('General Data'!$H$21=5,'DOE Fuel Esc Rates'!K205,"")))))</f>
        <v>5.4446460980037692E-3</v>
      </c>
      <c r="L427" s="47">
        <f>IF('General Data'!$H$21=1,'DOE Fuel Esc Rates'!L57,IF('General Data'!$H$21=2,'DOE Fuel Esc Rates'!L94,IF('General Data'!$H$21=3,'DOE Fuel Esc Rates'!L131,IF('General Data'!$H$21=4,'DOE Fuel Esc Rates'!L168,IF('General Data'!$H$21=5,'DOE Fuel Esc Rates'!L205,"")))))</f>
        <v>1.3363028953229383E-2</v>
      </c>
      <c r="M427" s="44"/>
      <c r="N427" s="47">
        <f>IF('General Data'!$H$21=1,'DOE Fuel Esc Rates'!N57,IF('General Data'!$H$21=2,'DOE Fuel Esc Rates'!N94,IF('General Data'!$H$21=3,'DOE Fuel Esc Rates'!N131,IF('General Data'!$H$21=4,'DOE Fuel Esc Rates'!N168,IF('General Data'!$H$21=5,'DOE Fuel Esc Rates'!N205,"")))))</f>
        <v>3.3050047214353562E-3</v>
      </c>
      <c r="O427" s="47">
        <f>IF('General Data'!$H$21=1,'DOE Fuel Esc Rates'!O57,IF('General Data'!$H$21=2,'DOE Fuel Esc Rates'!O94,IF('General Data'!$H$21=3,'DOE Fuel Esc Rates'!O131,IF('General Data'!$H$21=4,'DOE Fuel Esc Rates'!O168,IF('General Data'!$H$21=5,'DOE Fuel Esc Rates'!O205,"")))))</f>
        <v>2.0736352094794741E-2</v>
      </c>
      <c r="P427" s="47">
        <f>IF('General Data'!$H$21=1,'DOE Fuel Esc Rates'!P57,IF('General Data'!$H$21=2,'DOE Fuel Esc Rates'!P94,IF('General Data'!$H$21=3,'DOE Fuel Esc Rates'!P131,IF('General Data'!$H$21=4,'DOE Fuel Esc Rates'!P168,IF('General Data'!$H$21=5,'DOE Fuel Esc Rates'!P205,"")))))</f>
        <v>3.0191458026509688E-2</v>
      </c>
      <c r="Q427" s="47">
        <f>IF('General Data'!$H$21=1,'DOE Fuel Esc Rates'!Q57,IF('General Data'!$H$21=2,'DOE Fuel Esc Rates'!Q94,IF('General Data'!$H$21=3,'DOE Fuel Esc Rates'!Q131,IF('General Data'!$H$21=4,'DOE Fuel Esc Rates'!Q168,IF('General Data'!$H$21=5,'DOE Fuel Esc Rates'!Q205,"")))))</f>
        <v>-1.3422818791946067E-3</v>
      </c>
      <c r="R427" s="47">
        <f>IF('General Data'!$H$21=1,'DOE Fuel Esc Rates'!R57,IF('General Data'!$H$21=2,'DOE Fuel Esc Rates'!R94,IF('General Data'!$H$21=3,'DOE Fuel Esc Rates'!R131,IF('General Data'!$H$21=4,'DOE Fuel Esc Rates'!R168,IF('General Data'!$H$21=5,'DOE Fuel Esc Rates'!R205,"")))))</f>
        <v>6.3091482649841879E-3</v>
      </c>
      <c r="S427" s="44"/>
      <c r="T427" s="45">
        <f t="shared" si="13"/>
        <v>12</v>
      </c>
    </row>
    <row r="428" spans="1:20" x14ac:dyDescent="0.2">
      <c r="A428" s="45">
        <f>IF('General Data'!$H$21=1,'DOE Fuel Esc Rates'!A58,IF('General Data'!$H$21=2,'DOE Fuel Esc Rates'!A95,IF('General Data'!$H$21=3,'DOE Fuel Esc Rates'!A132,IF('General Data'!$H$21=4,'DOE Fuel Esc Rates'!A169,IF('General Data'!$H$21=5,'DOE Fuel Esc Rates'!A206,"")))))</f>
        <v>13</v>
      </c>
      <c r="B428" s="44"/>
      <c r="C428" s="47">
        <f>IF('General Data'!$H$21=1,'DOE Fuel Esc Rates'!C58,IF('General Data'!$H$21=2,'DOE Fuel Esc Rates'!C95,IF('General Data'!$H$21=3,'DOE Fuel Esc Rates'!C132,IF('General Data'!$H$21=4,'DOE Fuel Esc Rates'!C169,IF('General Data'!$H$21=5,'DOE Fuel Esc Rates'!C206,"")))))</f>
        <v>-1.5801948907032681E-3</v>
      </c>
      <c r="D428" s="47">
        <f>IF('General Data'!$H$21=1,'DOE Fuel Esc Rates'!D58,IF('General Data'!$H$21=2,'DOE Fuel Esc Rates'!D95,IF('General Data'!$H$21=3,'DOE Fuel Esc Rates'!D132,IF('General Data'!$H$21=4,'DOE Fuel Esc Rates'!D169,IF('General Data'!$H$21=5,'DOE Fuel Esc Rates'!D206,"")))))</f>
        <v>2.204981625153124E-2</v>
      </c>
      <c r="E428" s="47">
        <f>IF('General Data'!$H$21=1,'DOE Fuel Esc Rates'!E58,IF('General Data'!$H$21=2,'DOE Fuel Esc Rates'!E95,IF('General Data'!$H$21=3,'DOE Fuel Esc Rates'!E132,IF('General Data'!$H$21=4,'DOE Fuel Esc Rates'!E169,IF('General Data'!$H$21=5,'DOE Fuel Esc Rates'!E206,"")))))</f>
        <v>-4.7058823529412264E-3</v>
      </c>
      <c r="F428" s="47">
        <f>IF('General Data'!$H$21=1,'DOE Fuel Esc Rates'!F58,IF('General Data'!$H$21=2,'DOE Fuel Esc Rates'!F95,IF('General Data'!$H$21=3,'DOE Fuel Esc Rates'!F132,IF('General Data'!$H$21=4,'DOE Fuel Esc Rates'!F169,IF('General Data'!$H$21=5,'DOE Fuel Esc Rates'!F206,"")))))</f>
        <v>5.6680161943321039E-3</v>
      </c>
      <c r="G428" s="44"/>
      <c r="H428" s="47">
        <f>IF('General Data'!$H$21=1,'DOE Fuel Esc Rates'!H58,IF('General Data'!$H$21=2,'DOE Fuel Esc Rates'!H95,IF('General Data'!$H$21=3,'DOE Fuel Esc Rates'!H132,IF('General Data'!$H$21=4,'DOE Fuel Esc Rates'!H169,IF('General Data'!$H$21=5,'DOE Fuel Esc Rates'!H206,"")))))</f>
        <v>-4.282655246252709E-3</v>
      </c>
      <c r="I428" s="47">
        <f>IF('General Data'!$H$21=1,'DOE Fuel Esc Rates'!I58,IF('General Data'!$H$21=2,'DOE Fuel Esc Rates'!I95,IF('General Data'!$H$21=3,'DOE Fuel Esc Rates'!I132,IF('General Data'!$H$21=4,'DOE Fuel Esc Rates'!I169,IF('General Data'!$H$21=5,'DOE Fuel Esc Rates'!I206,"")))))</f>
        <v>2.1396851029471087E-2</v>
      </c>
      <c r="J428" s="47">
        <f>IF('General Data'!$H$21=1,'DOE Fuel Esc Rates'!J58,IF('General Data'!$H$21=2,'DOE Fuel Esc Rates'!J95,IF('General Data'!$H$21=3,'DOE Fuel Esc Rates'!J132,IF('General Data'!$H$21=4,'DOE Fuel Esc Rates'!J169,IF('General Data'!$H$21=5,'DOE Fuel Esc Rates'!J206,"")))))</f>
        <v>2.918149466192177E-2</v>
      </c>
      <c r="K428" s="47">
        <f>IF('General Data'!$H$21=1,'DOE Fuel Esc Rates'!K58,IF('General Data'!$H$21=2,'DOE Fuel Esc Rates'!K95,IF('General Data'!$H$21=3,'DOE Fuel Esc Rates'!K132,IF('General Data'!$H$21=4,'DOE Fuel Esc Rates'!K169,IF('General Data'!$H$21=5,'DOE Fuel Esc Rates'!K206,"")))))</f>
        <v>-7.2202166064981865E-3</v>
      </c>
      <c r="L428" s="47">
        <f>IF('General Data'!$H$21=1,'DOE Fuel Esc Rates'!L58,IF('General Data'!$H$21=2,'DOE Fuel Esc Rates'!L95,IF('General Data'!$H$21=3,'DOE Fuel Esc Rates'!L132,IF('General Data'!$H$21=4,'DOE Fuel Esc Rates'!L169,IF('General Data'!$H$21=5,'DOE Fuel Esc Rates'!L206,"")))))</f>
        <v>6.59340659340657E-3</v>
      </c>
      <c r="M428" s="44"/>
      <c r="N428" s="47">
        <f>IF('General Data'!$H$21=1,'DOE Fuel Esc Rates'!N58,IF('General Data'!$H$21=2,'DOE Fuel Esc Rates'!N95,IF('General Data'!$H$21=3,'DOE Fuel Esc Rates'!N132,IF('General Data'!$H$21=4,'DOE Fuel Esc Rates'!N169,IF('General Data'!$H$21=5,'DOE Fuel Esc Rates'!N206,"")))))</f>
        <v>-3.2941176470588918E-3</v>
      </c>
      <c r="O428" s="47">
        <f>IF('General Data'!$H$21=1,'DOE Fuel Esc Rates'!O58,IF('General Data'!$H$21=2,'DOE Fuel Esc Rates'!O95,IF('General Data'!$H$21=3,'DOE Fuel Esc Rates'!O132,IF('General Data'!$H$21=4,'DOE Fuel Esc Rates'!O169,IF('General Data'!$H$21=5,'DOE Fuel Esc Rates'!O206,"")))))</f>
        <v>2.2388059701492491E-2</v>
      </c>
      <c r="P428" s="47">
        <f>IF('General Data'!$H$21=1,'DOE Fuel Esc Rates'!P58,IF('General Data'!$H$21=2,'DOE Fuel Esc Rates'!P95,IF('General Data'!$H$21=3,'DOE Fuel Esc Rates'!P132,IF('General Data'!$H$21=4,'DOE Fuel Esc Rates'!P169,IF('General Data'!$H$21=5,'DOE Fuel Esc Rates'!P206,"")))))</f>
        <v>2.9306647605432445E-2</v>
      </c>
      <c r="Q428" s="47">
        <f>IF('General Data'!$H$21=1,'DOE Fuel Esc Rates'!Q58,IF('General Data'!$H$21=2,'DOE Fuel Esc Rates'!Q95,IF('General Data'!$H$21=3,'DOE Fuel Esc Rates'!Q132,IF('General Data'!$H$21=4,'DOE Fuel Esc Rates'!Q169,IF('General Data'!$H$21=5,'DOE Fuel Esc Rates'!Q206,"")))))</f>
        <v>-2.1505376344086002E-2</v>
      </c>
      <c r="R428" s="47">
        <f>IF('General Data'!$H$21=1,'DOE Fuel Esc Rates'!R58,IF('General Data'!$H$21=2,'DOE Fuel Esc Rates'!R95,IF('General Data'!$H$21=3,'DOE Fuel Esc Rates'!R132,IF('General Data'!$H$21=4,'DOE Fuel Esc Rates'!R169,IF('General Data'!$H$21=5,'DOE Fuel Esc Rates'!R206,"")))))</f>
        <v>9.4043887147337024E-3</v>
      </c>
      <c r="S428" s="44"/>
      <c r="T428" s="45">
        <f t="shared" si="13"/>
        <v>13</v>
      </c>
    </row>
    <row r="429" spans="1:20" x14ac:dyDescent="0.2">
      <c r="A429" s="45">
        <f>IF('General Data'!$H$21=1,'DOE Fuel Esc Rates'!A59,IF('General Data'!$H$21=2,'DOE Fuel Esc Rates'!A96,IF('General Data'!$H$21=3,'DOE Fuel Esc Rates'!A133,IF('General Data'!$H$21=4,'DOE Fuel Esc Rates'!A170,IF('General Data'!$H$21=5,'DOE Fuel Esc Rates'!A207,"")))))</f>
        <v>14</v>
      </c>
      <c r="B429" s="44"/>
      <c r="C429" s="47">
        <f>IF('General Data'!$H$21=1,'DOE Fuel Esc Rates'!C59,IF('General Data'!$H$21=2,'DOE Fuel Esc Rates'!C96,IF('General Data'!$H$21=3,'DOE Fuel Esc Rates'!C133,IF('General Data'!$H$21=4,'DOE Fuel Esc Rates'!C170,IF('General Data'!$H$21=5,'DOE Fuel Esc Rates'!C207,"")))))</f>
        <v>-3.4291743603269698E-3</v>
      </c>
      <c r="D429" s="47">
        <f>IF('General Data'!$H$21=1,'DOE Fuel Esc Rates'!D59,IF('General Data'!$H$21=2,'DOE Fuel Esc Rates'!D96,IF('General Data'!$H$21=3,'DOE Fuel Esc Rates'!D133,IF('General Data'!$H$21=4,'DOE Fuel Esc Rates'!D170,IF('General Data'!$H$21=5,'DOE Fuel Esc Rates'!D207,"")))))</f>
        <v>2.2373152217339154E-2</v>
      </c>
      <c r="E429" s="47">
        <f>IF('General Data'!$H$21=1,'DOE Fuel Esc Rates'!E59,IF('General Data'!$H$21=2,'DOE Fuel Esc Rates'!E96,IF('General Data'!$H$21=3,'DOE Fuel Esc Rates'!E133,IF('General Data'!$H$21=4,'DOE Fuel Esc Rates'!E170,IF('General Data'!$H$21=5,'DOE Fuel Esc Rates'!E207,"")))))</f>
        <v>-1.5760441292356209E-3</v>
      </c>
      <c r="F429" s="47">
        <f>IF('General Data'!$H$21=1,'DOE Fuel Esc Rates'!F59,IF('General Data'!$H$21=2,'DOE Fuel Esc Rates'!F96,IF('General Data'!$H$21=3,'DOE Fuel Esc Rates'!F133,IF('General Data'!$H$21=4,'DOE Fuel Esc Rates'!F170,IF('General Data'!$H$21=5,'DOE Fuel Esc Rates'!F207,"")))))</f>
        <v>5.6360708534621828E-3</v>
      </c>
      <c r="G429" s="44"/>
      <c r="H429" s="47">
        <f>IF('General Data'!$H$21=1,'DOE Fuel Esc Rates'!H59,IF('General Data'!$H$21=2,'DOE Fuel Esc Rates'!H96,IF('General Data'!$H$21=3,'DOE Fuel Esc Rates'!H133,IF('General Data'!$H$21=4,'DOE Fuel Esc Rates'!H170,IF('General Data'!$H$21=5,'DOE Fuel Esc Rates'!H207,"")))))</f>
        <v>-7.0660522273424675E-3</v>
      </c>
      <c r="I429" s="47">
        <f>IF('General Data'!$H$21=1,'DOE Fuel Esc Rates'!I59,IF('General Data'!$H$21=2,'DOE Fuel Esc Rates'!I96,IF('General Data'!$H$21=3,'DOE Fuel Esc Rates'!I133,IF('General Data'!$H$21=4,'DOE Fuel Esc Rates'!I170,IF('General Data'!$H$21=5,'DOE Fuel Esc Rates'!I207,"")))))</f>
        <v>2.1343873517786438E-2</v>
      </c>
      <c r="J429" s="47">
        <f>IF('General Data'!$H$21=1,'DOE Fuel Esc Rates'!J59,IF('General Data'!$H$21=2,'DOE Fuel Esc Rates'!J96,IF('General Data'!$H$21=3,'DOE Fuel Esc Rates'!J133,IF('General Data'!$H$21=4,'DOE Fuel Esc Rates'!J170,IF('General Data'!$H$21=5,'DOE Fuel Esc Rates'!J207,"")))))</f>
        <v>2.9737206085753698E-2</v>
      </c>
      <c r="K429" s="47">
        <f>IF('General Data'!$H$21=1,'DOE Fuel Esc Rates'!K59,IF('General Data'!$H$21=2,'DOE Fuel Esc Rates'!K96,IF('General Data'!$H$21=3,'DOE Fuel Esc Rates'!K133,IF('General Data'!$H$21=4,'DOE Fuel Esc Rates'!K170,IF('General Data'!$H$21=5,'DOE Fuel Esc Rates'!K207,"")))))</f>
        <v>-4.5454545454546302E-3</v>
      </c>
      <c r="L429" s="47">
        <f>IF('General Data'!$H$21=1,'DOE Fuel Esc Rates'!L59,IF('General Data'!$H$21=2,'DOE Fuel Esc Rates'!L96,IF('General Data'!$H$21=3,'DOE Fuel Esc Rates'!L133,IF('General Data'!$H$21=4,'DOE Fuel Esc Rates'!L170,IF('General Data'!$H$21=5,'DOE Fuel Esc Rates'!L207,"")))))</f>
        <v>1.3100436681222627E-2</v>
      </c>
      <c r="M429" s="44"/>
      <c r="N429" s="47">
        <f>IF('General Data'!$H$21=1,'DOE Fuel Esc Rates'!N59,IF('General Data'!$H$21=2,'DOE Fuel Esc Rates'!N96,IF('General Data'!$H$21=3,'DOE Fuel Esc Rates'!N133,IF('General Data'!$H$21=4,'DOE Fuel Esc Rates'!N170,IF('General Data'!$H$21=5,'DOE Fuel Esc Rates'!N207,"")))))</f>
        <v>-4.2492917847025691E-3</v>
      </c>
      <c r="O429" s="47">
        <f>IF('General Data'!$H$21=1,'DOE Fuel Esc Rates'!O59,IF('General Data'!$H$21=2,'DOE Fuel Esc Rates'!O96,IF('General Data'!$H$21=3,'DOE Fuel Esc Rates'!O133,IF('General Data'!$H$21=4,'DOE Fuel Esc Rates'!O170,IF('General Data'!$H$21=5,'DOE Fuel Esc Rates'!O207,"")))))</f>
        <v>2.108678021086785E-2</v>
      </c>
      <c r="P429" s="47">
        <f>IF('General Data'!$H$21=1,'DOE Fuel Esc Rates'!P59,IF('General Data'!$H$21=2,'DOE Fuel Esc Rates'!P96,IF('General Data'!$H$21=3,'DOE Fuel Esc Rates'!P133,IF('General Data'!$H$21=4,'DOE Fuel Esc Rates'!P170,IF('General Data'!$H$21=5,'DOE Fuel Esc Rates'!P207,"")))))</f>
        <v>2.9861111111111116E-2</v>
      </c>
      <c r="Q429" s="47">
        <f>IF('General Data'!$H$21=1,'DOE Fuel Esc Rates'!Q59,IF('General Data'!$H$21=2,'DOE Fuel Esc Rates'!Q96,IF('General Data'!$H$21=3,'DOE Fuel Esc Rates'!Q133,IF('General Data'!$H$21=4,'DOE Fuel Esc Rates'!Q170,IF('General Data'!$H$21=5,'DOE Fuel Esc Rates'!Q207,"")))))</f>
        <v>-1.6483516483516536E-2</v>
      </c>
      <c r="R429" s="47">
        <f>IF('General Data'!$H$21=1,'DOE Fuel Esc Rates'!R59,IF('General Data'!$H$21=2,'DOE Fuel Esc Rates'!R96,IF('General Data'!$H$21=3,'DOE Fuel Esc Rates'!R133,IF('General Data'!$H$21=4,'DOE Fuel Esc Rates'!R170,IF('General Data'!$H$21=5,'DOE Fuel Esc Rates'!R207,"")))))</f>
        <v>6.2111801242235032E-3</v>
      </c>
      <c r="S429" s="44"/>
      <c r="T429" s="45">
        <f t="shared" si="13"/>
        <v>14</v>
      </c>
    </row>
    <row r="430" spans="1:20" x14ac:dyDescent="0.2">
      <c r="A430" s="45">
        <f>IF('General Data'!$H$21=1,'DOE Fuel Esc Rates'!A60,IF('General Data'!$H$21=2,'DOE Fuel Esc Rates'!A97,IF('General Data'!$H$21=3,'DOE Fuel Esc Rates'!A134,IF('General Data'!$H$21=4,'DOE Fuel Esc Rates'!A171,IF('General Data'!$H$21=5,'DOE Fuel Esc Rates'!A208,"")))))</f>
        <v>15</v>
      </c>
      <c r="B430" s="44"/>
      <c r="C430" s="47">
        <f>IF('General Data'!$H$21=1,'DOE Fuel Esc Rates'!C60,IF('General Data'!$H$21=2,'DOE Fuel Esc Rates'!C97,IF('General Data'!$H$21=3,'DOE Fuel Esc Rates'!C134,IF('General Data'!$H$21=4,'DOE Fuel Esc Rates'!C171,IF('General Data'!$H$21=5,'DOE Fuel Esc Rates'!C208,"")))))</f>
        <v>2.6469031233444795E-4</v>
      </c>
      <c r="D430" s="47">
        <f>IF('General Data'!$H$21=1,'DOE Fuel Esc Rates'!D60,IF('General Data'!$H$21=2,'DOE Fuel Esc Rates'!D97,IF('General Data'!$H$21=3,'DOE Fuel Esc Rates'!D134,IF('General Data'!$H$21=4,'DOE Fuel Esc Rates'!D171,IF('General Data'!$H$21=5,'DOE Fuel Esc Rates'!D208,"")))))</f>
        <v>2.2274325908558046E-2</v>
      </c>
      <c r="E430" s="47">
        <f>IF('General Data'!$H$21=1,'DOE Fuel Esc Rates'!E60,IF('General Data'!$H$21=2,'DOE Fuel Esc Rates'!E97,IF('General Data'!$H$21=3,'DOE Fuel Esc Rates'!E134,IF('General Data'!$H$21=4,'DOE Fuel Esc Rates'!E171,IF('General Data'!$H$21=5,'DOE Fuel Esc Rates'!E208,"")))))</f>
        <v>3.1570639305447123E-3</v>
      </c>
      <c r="F430" s="47">
        <f>IF('General Data'!$H$21=1,'DOE Fuel Esc Rates'!F60,IF('General Data'!$H$21=2,'DOE Fuel Esc Rates'!F97,IF('General Data'!$H$21=3,'DOE Fuel Esc Rates'!F134,IF('General Data'!$H$21=4,'DOE Fuel Esc Rates'!F171,IF('General Data'!$H$21=5,'DOE Fuel Esc Rates'!F208,"")))))</f>
        <v>6.4051240992795133E-3</v>
      </c>
      <c r="G430" s="44"/>
      <c r="H430" s="47">
        <f>IF('General Data'!$H$21=1,'DOE Fuel Esc Rates'!H60,IF('General Data'!$H$21=2,'DOE Fuel Esc Rates'!H97,IF('General Data'!$H$21=3,'DOE Fuel Esc Rates'!H134,IF('General Data'!$H$21=4,'DOE Fuel Esc Rates'!H171,IF('General Data'!$H$21=5,'DOE Fuel Esc Rates'!H208,"")))))</f>
        <v>-2.7846534653466204E-3</v>
      </c>
      <c r="I430" s="47">
        <f>IF('General Data'!$H$21=1,'DOE Fuel Esc Rates'!I60,IF('General Data'!$H$21=2,'DOE Fuel Esc Rates'!I97,IF('General Data'!$H$21=3,'DOE Fuel Esc Rates'!I134,IF('General Data'!$H$21=4,'DOE Fuel Esc Rates'!I171,IF('General Data'!$H$21=5,'DOE Fuel Esc Rates'!I208,"")))))</f>
        <v>2.0897832817337481E-2</v>
      </c>
      <c r="J430" s="47">
        <f>IF('General Data'!$H$21=1,'DOE Fuel Esc Rates'!J60,IF('General Data'!$H$21=2,'DOE Fuel Esc Rates'!J97,IF('General Data'!$H$21=3,'DOE Fuel Esc Rates'!J134,IF('General Data'!$H$21=4,'DOE Fuel Esc Rates'!J171,IF('General Data'!$H$21=5,'DOE Fuel Esc Rates'!J208,"")))))</f>
        <v>3.0221625251846795E-2</v>
      </c>
      <c r="K430" s="47">
        <f>IF('General Data'!$H$21=1,'DOE Fuel Esc Rates'!K60,IF('General Data'!$H$21=2,'DOE Fuel Esc Rates'!K97,IF('General Data'!$H$21=3,'DOE Fuel Esc Rates'!K134,IF('General Data'!$H$21=4,'DOE Fuel Esc Rates'!K171,IF('General Data'!$H$21=5,'DOE Fuel Esc Rates'!K208,"")))))</f>
        <v>2.73972602739736E-3</v>
      </c>
      <c r="L430" s="47">
        <f>IF('General Data'!$H$21=1,'DOE Fuel Esc Rates'!L60,IF('General Data'!$H$21=2,'DOE Fuel Esc Rates'!L97,IF('General Data'!$H$21=3,'DOE Fuel Esc Rates'!L134,IF('General Data'!$H$21=4,'DOE Fuel Esc Rates'!L171,IF('General Data'!$H$21=5,'DOE Fuel Esc Rates'!L208,"")))))</f>
        <v>8.6206896551723755E-3</v>
      </c>
      <c r="M430" s="44"/>
      <c r="N430" s="47">
        <f>IF('General Data'!$H$21=1,'DOE Fuel Esc Rates'!N60,IF('General Data'!$H$21=2,'DOE Fuel Esc Rates'!N97,IF('General Data'!$H$21=3,'DOE Fuel Esc Rates'!N134,IF('General Data'!$H$21=4,'DOE Fuel Esc Rates'!N171,IF('General Data'!$H$21=5,'DOE Fuel Esc Rates'!N208,"")))))</f>
        <v>4.7415836889519447E-4</v>
      </c>
      <c r="O430" s="47">
        <f>IF('General Data'!$H$21=1,'DOE Fuel Esc Rates'!O60,IF('General Data'!$H$21=2,'DOE Fuel Esc Rates'!O97,IF('General Data'!$H$21=3,'DOE Fuel Esc Rates'!O134,IF('General Data'!$H$21=4,'DOE Fuel Esc Rates'!O171,IF('General Data'!$H$21=5,'DOE Fuel Esc Rates'!O208,"")))))</f>
        <v>1.9857029388403502E-2</v>
      </c>
      <c r="P430" s="47">
        <f>IF('General Data'!$H$21=1,'DOE Fuel Esc Rates'!P60,IF('General Data'!$H$21=2,'DOE Fuel Esc Rates'!P97,IF('General Data'!$H$21=3,'DOE Fuel Esc Rates'!P134,IF('General Data'!$H$21=4,'DOE Fuel Esc Rates'!P171,IF('General Data'!$H$21=5,'DOE Fuel Esc Rates'!P208,"")))))</f>
        <v>3.0343897505057171E-2</v>
      </c>
      <c r="Q430" s="47">
        <f>IF('General Data'!$H$21=1,'DOE Fuel Esc Rates'!Q60,IF('General Data'!$H$21=2,'DOE Fuel Esc Rates'!Q97,IF('General Data'!$H$21=3,'DOE Fuel Esc Rates'!Q134,IF('General Data'!$H$21=4,'DOE Fuel Esc Rates'!Q171,IF('General Data'!$H$21=5,'DOE Fuel Esc Rates'!Q208,"")))))</f>
        <v>-8.379888268156499E-3</v>
      </c>
      <c r="R430" s="47">
        <f>IF('General Data'!$H$21=1,'DOE Fuel Esc Rates'!R60,IF('General Data'!$H$21=2,'DOE Fuel Esc Rates'!R97,IF('General Data'!$H$21=3,'DOE Fuel Esc Rates'!R134,IF('General Data'!$H$21=4,'DOE Fuel Esc Rates'!R171,IF('General Data'!$H$21=5,'DOE Fuel Esc Rates'!R208,"")))))</f>
        <v>9.2592592592593004E-3</v>
      </c>
      <c r="S430" s="44"/>
      <c r="T430" s="45">
        <f t="shared" si="13"/>
        <v>15</v>
      </c>
    </row>
    <row r="431" spans="1:20" x14ac:dyDescent="0.2">
      <c r="A431" s="45">
        <f>IF('General Data'!$H$21=1,'DOE Fuel Esc Rates'!A61,IF('General Data'!$H$21=2,'DOE Fuel Esc Rates'!A98,IF('General Data'!$H$21=3,'DOE Fuel Esc Rates'!A135,IF('General Data'!$H$21=4,'DOE Fuel Esc Rates'!A172,IF('General Data'!$H$21=5,'DOE Fuel Esc Rates'!A209,"")))))</f>
        <v>16</v>
      </c>
      <c r="B431" s="44"/>
      <c r="C431" s="47">
        <f>IF('General Data'!$H$21=1,'DOE Fuel Esc Rates'!C61,IF('General Data'!$H$21=2,'DOE Fuel Esc Rates'!C98,IF('General Data'!$H$21=3,'DOE Fuel Esc Rates'!C135,IF('General Data'!$H$21=4,'DOE Fuel Esc Rates'!C172,IF('General Data'!$H$21=5,'DOE Fuel Esc Rates'!C209,"")))))</f>
        <v>1.8523418893887644E-3</v>
      </c>
      <c r="D431" s="47">
        <f>IF('General Data'!$H$21=1,'DOE Fuel Esc Rates'!D61,IF('General Data'!$H$21=2,'DOE Fuel Esc Rates'!D98,IF('General Data'!$H$21=3,'DOE Fuel Esc Rates'!D135,IF('General Data'!$H$21=4,'DOE Fuel Esc Rates'!D172,IF('General Data'!$H$21=5,'DOE Fuel Esc Rates'!D209,"")))))</f>
        <v>2.2553516819571851E-2</v>
      </c>
      <c r="E431" s="47">
        <f>IF('General Data'!$H$21=1,'DOE Fuel Esc Rates'!E61,IF('General Data'!$H$21=2,'DOE Fuel Esc Rates'!E98,IF('General Data'!$H$21=3,'DOE Fuel Esc Rates'!E135,IF('General Data'!$H$21=4,'DOE Fuel Esc Rates'!E172,IF('General Data'!$H$21=5,'DOE Fuel Esc Rates'!E209,"")))))</f>
        <v>9.4413847364278602E-3</v>
      </c>
      <c r="F431" s="47">
        <f>IF('General Data'!$H$21=1,'DOE Fuel Esc Rates'!F61,IF('General Data'!$H$21=2,'DOE Fuel Esc Rates'!F98,IF('General Data'!$H$21=3,'DOE Fuel Esc Rates'!F135,IF('General Data'!$H$21=4,'DOE Fuel Esc Rates'!F172,IF('General Data'!$H$21=5,'DOE Fuel Esc Rates'!F209,"")))))</f>
        <v>7.5576770087508738E-3</v>
      </c>
      <c r="G431" s="44"/>
      <c r="H431" s="47">
        <f>IF('General Data'!$H$21=1,'DOE Fuel Esc Rates'!H61,IF('General Data'!$H$21=2,'DOE Fuel Esc Rates'!H98,IF('General Data'!$H$21=3,'DOE Fuel Esc Rates'!H135,IF('General Data'!$H$21=4,'DOE Fuel Esc Rates'!H172,IF('General Data'!$H$21=5,'DOE Fuel Esc Rates'!H209,"")))))</f>
        <v>-1.2410797393732631E-3</v>
      </c>
      <c r="I431" s="47">
        <f>IF('General Data'!$H$21=1,'DOE Fuel Esc Rates'!I61,IF('General Data'!$H$21=2,'DOE Fuel Esc Rates'!I98,IF('General Data'!$H$21=3,'DOE Fuel Esc Rates'!I135,IF('General Data'!$H$21=4,'DOE Fuel Esc Rates'!I172,IF('General Data'!$H$21=5,'DOE Fuel Esc Rates'!I209,"")))))</f>
        <v>2.1228203184230576E-2</v>
      </c>
      <c r="J431" s="47">
        <f>IF('General Data'!$H$21=1,'DOE Fuel Esc Rates'!J61,IF('General Data'!$H$21=2,'DOE Fuel Esc Rates'!J98,IF('General Data'!$H$21=3,'DOE Fuel Esc Rates'!J135,IF('General Data'!$H$21=4,'DOE Fuel Esc Rates'!J172,IF('General Data'!$H$21=5,'DOE Fuel Esc Rates'!J209,"")))))</f>
        <v>3.1290743155149903E-2</v>
      </c>
      <c r="K431" s="47">
        <f>IF('General Data'!$H$21=1,'DOE Fuel Esc Rates'!K61,IF('General Data'!$H$21=2,'DOE Fuel Esc Rates'!K98,IF('General Data'!$H$21=3,'DOE Fuel Esc Rates'!K135,IF('General Data'!$H$21=4,'DOE Fuel Esc Rates'!K172,IF('General Data'!$H$21=5,'DOE Fuel Esc Rates'!K209,"")))))</f>
        <v>8.1967213114753079E-3</v>
      </c>
      <c r="L431" s="47">
        <f>IF('General Data'!$H$21=1,'DOE Fuel Esc Rates'!L61,IF('General Data'!$H$21=2,'DOE Fuel Esc Rates'!L98,IF('General Data'!$H$21=3,'DOE Fuel Esc Rates'!L135,IF('General Data'!$H$21=4,'DOE Fuel Esc Rates'!L172,IF('General Data'!$H$21=5,'DOE Fuel Esc Rates'!L209,"")))))</f>
        <v>4.2735042735044804E-3</v>
      </c>
      <c r="M431" s="44"/>
      <c r="N431" s="47">
        <f>IF('General Data'!$H$21=1,'DOE Fuel Esc Rates'!N61,IF('General Data'!$H$21=2,'DOE Fuel Esc Rates'!N98,IF('General Data'!$H$21=3,'DOE Fuel Esc Rates'!N135,IF('General Data'!$H$21=4,'DOE Fuel Esc Rates'!N172,IF('General Data'!$H$21=5,'DOE Fuel Esc Rates'!N209,"")))))</f>
        <v>1.8957345971564177E-3</v>
      </c>
      <c r="O431" s="47">
        <f>IF('General Data'!$H$21=1,'DOE Fuel Esc Rates'!O61,IF('General Data'!$H$21=2,'DOE Fuel Esc Rates'!O98,IF('General Data'!$H$21=3,'DOE Fuel Esc Rates'!O135,IF('General Data'!$H$21=4,'DOE Fuel Esc Rates'!O172,IF('General Data'!$H$21=5,'DOE Fuel Esc Rates'!O209,"")))))</f>
        <v>2.1806853582554409E-2</v>
      </c>
      <c r="P431" s="47">
        <f>IF('General Data'!$H$21=1,'DOE Fuel Esc Rates'!P61,IF('General Data'!$H$21=2,'DOE Fuel Esc Rates'!P98,IF('General Data'!$H$21=3,'DOE Fuel Esc Rates'!P135,IF('General Data'!$H$21=4,'DOE Fuel Esc Rates'!P172,IF('General Data'!$H$21=5,'DOE Fuel Esc Rates'!P209,"")))))</f>
        <v>3.0759162303664933E-2</v>
      </c>
      <c r="Q431" s="47">
        <f>IF('General Data'!$H$21=1,'DOE Fuel Esc Rates'!Q61,IF('General Data'!$H$21=2,'DOE Fuel Esc Rates'!Q98,IF('General Data'!$H$21=3,'DOE Fuel Esc Rates'!Q135,IF('General Data'!$H$21=4,'DOE Fuel Esc Rates'!Q172,IF('General Data'!$H$21=5,'DOE Fuel Esc Rates'!Q209,"")))))</f>
        <v>7.0422535211267512E-3</v>
      </c>
      <c r="R431" s="47">
        <f>IF('General Data'!$H$21=1,'DOE Fuel Esc Rates'!R61,IF('General Data'!$H$21=2,'DOE Fuel Esc Rates'!R98,IF('General Data'!$H$21=3,'DOE Fuel Esc Rates'!R135,IF('General Data'!$H$21=4,'DOE Fuel Esc Rates'!R172,IF('General Data'!$H$21=5,'DOE Fuel Esc Rates'!R209,"")))))</f>
        <v>6.1162079510703737E-3</v>
      </c>
      <c r="S431" s="44"/>
      <c r="T431" s="45">
        <f t="shared" si="13"/>
        <v>16</v>
      </c>
    </row>
    <row r="432" spans="1:20" x14ac:dyDescent="0.2">
      <c r="A432" s="45">
        <f>IF('General Data'!$H$21=1,'DOE Fuel Esc Rates'!A62,IF('General Data'!$H$21=2,'DOE Fuel Esc Rates'!A99,IF('General Data'!$H$21=3,'DOE Fuel Esc Rates'!A136,IF('General Data'!$H$21=4,'DOE Fuel Esc Rates'!A173,IF('General Data'!$H$21=5,'DOE Fuel Esc Rates'!A210,"")))))</f>
        <v>17</v>
      </c>
      <c r="B432" s="44"/>
      <c r="C432" s="47">
        <f>IF('General Data'!$H$21=1,'DOE Fuel Esc Rates'!C62,IF('General Data'!$H$21=2,'DOE Fuel Esc Rates'!C99,IF('General Data'!$H$21=3,'DOE Fuel Esc Rates'!C136,IF('General Data'!$H$21=4,'DOE Fuel Esc Rates'!C173,IF('General Data'!$H$21=5,'DOE Fuel Esc Rates'!C210,"")))))</f>
        <v>2.9054410987849888E-3</v>
      </c>
      <c r="D432" s="47">
        <f>IF('General Data'!$H$21=1,'DOE Fuel Esc Rates'!D62,IF('General Data'!$H$21=2,'DOE Fuel Esc Rates'!D99,IF('General Data'!$H$21=3,'DOE Fuel Esc Rates'!D136,IF('General Data'!$H$21=4,'DOE Fuel Esc Rates'!D173,IF('General Data'!$H$21=5,'DOE Fuel Esc Rates'!D210,"")))))</f>
        <v>2.2056074766355183E-2</v>
      </c>
      <c r="E432" s="47">
        <f>IF('General Data'!$H$21=1,'DOE Fuel Esc Rates'!E62,IF('General Data'!$H$21=2,'DOE Fuel Esc Rates'!E99,IF('General Data'!$H$21=3,'DOE Fuel Esc Rates'!E136,IF('General Data'!$H$21=4,'DOE Fuel Esc Rates'!E173,IF('General Data'!$H$21=5,'DOE Fuel Esc Rates'!E210,"")))))</f>
        <v>1.4809041309431059E-2</v>
      </c>
      <c r="F432" s="47">
        <f>IF('General Data'!$H$21=1,'DOE Fuel Esc Rates'!F62,IF('General Data'!$H$21=2,'DOE Fuel Esc Rates'!F99,IF('General Data'!$H$21=3,'DOE Fuel Esc Rates'!F136,IF('General Data'!$H$21=4,'DOE Fuel Esc Rates'!F173,IF('General Data'!$H$21=5,'DOE Fuel Esc Rates'!F210,"")))))</f>
        <v>9.0801421239636859E-3</v>
      </c>
      <c r="G432" s="44"/>
      <c r="H432" s="47">
        <f>IF('General Data'!$H$21=1,'DOE Fuel Esc Rates'!H62,IF('General Data'!$H$21=2,'DOE Fuel Esc Rates'!H99,IF('General Data'!$H$21=3,'DOE Fuel Esc Rates'!H136,IF('General Data'!$H$21=4,'DOE Fuel Esc Rates'!H173,IF('General Data'!$H$21=5,'DOE Fuel Esc Rates'!H210,"")))))</f>
        <v>0</v>
      </c>
      <c r="I432" s="47">
        <f>IF('General Data'!$H$21=1,'DOE Fuel Esc Rates'!I62,IF('General Data'!$H$21=2,'DOE Fuel Esc Rates'!I99,IF('General Data'!$H$21=3,'DOE Fuel Esc Rates'!I136,IF('General Data'!$H$21=4,'DOE Fuel Esc Rates'!I173,IF('General Data'!$H$21=5,'DOE Fuel Esc Rates'!I210,"")))))</f>
        <v>2.1900519673348162E-2</v>
      </c>
      <c r="J432" s="47">
        <f>IF('General Data'!$H$21=1,'DOE Fuel Esc Rates'!J62,IF('General Data'!$H$21=2,'DOE Fuel Esc Rates'!J99,IF('General Data'!$H$21=3,'DOE Fuel Esc Rates'!J136,IF('General Data'!$H$21=4,'DOE Fuel Esc Rates'!J173,IF('General Data'!$H$21=5,'DOE Fuel Esc Rates'!J210,"")))))</f>
        <v>3.0341340075853429E-2</v>
      </c>
      <c r="K432" s="47">
        <f>IF('General Data'!$H$21=1,'DOE Fuel Esc Rates'!K62,IF('General Data'!$H$21=2,'DOE Fuel Esc Rates'!K99,IF('General Data'!$H$21=3,'DOE Fuel Esc Rates'!K136,IF('General Data'!$H$21=4,'DOE Fuel Esc Rates'!K173,IF('General Data'!$H$21=5,'DOE Fuel Esc Rates'!K210,"")))))</f>
        <v>1.6260162601625883E-2</v>
      </c>
      <c r="L432" s="47">
        <f>IF('General Data'!$H$21=1,'DOE Fuel Esc Rates'!L62,IF('General Data'!$H$21=2,'DOE Fuel Esc Rates'!L99,IF('General Data'!$H$21=3,'DOE Fuel Esc Rates'!L136,IF('General Data'!$H$21=4,'DOE Fuel Esc Rates'!L173,IF('General Data'!$H$21=5,'DOE Fuel Esc Rates'!L210,"")))))</f>
        <v>1.2765957446808418E-2</v>
      </c>
      <c r="M432" s="44"/>
      <c r="N432" s="47">
        <f>IF('General Data'!$H$21=1,'DOE Fuel Esc Rates'!N62,IF('General Data'!$H$21=2,'DOE Fuel Esc Rates'!N99,IF('General Data'!$H$21=3,'DOE Fuel Esc Rates'!N136,IF('General Data'!$H$21=4,'DOE Fuel Esc Rates'!N173,IF('General Data'!$H$21=5,'DOE Fuel Esc Rates'!N210,"")))))</f>
        <v>3.3112582781456013E-3</v>
      </c>
      <c r="O432" s="47">
        <f>IF('General Data'!$H$21=1,'DOE Fuel Esc Rates'!O62,IF('General Data'!$H$21=2,'DOE Fuel Esc Rates'!O99,IF('General Data'!$H$21=3,'DOE Fuel Esc Rates'!O136,IF('General Data'!$H$21=4,'DOE Fuel Esc Rates'!O173,IF('General Data'!$H$21=5,'DOE Fuel Esc Rates'!O210,"")))))</f>
        <v>2.2484756097560954E-2</v>
      </c>
      <c r="P432" s="47">
        <f>IF('General Data'!$H$21=1,'DOE Fuel Esc Rates'!P62,IF('General Data'!$H$21=2,'DOE Fuel Esc Rates'!P99,IF('General Data'!$H$21=3,'DOE Fuel Esc Rates'!P136,IF('General Data'!$H$21=4,'DOE Fuel Esc Rates'!P173,IF('General Data'!$H$21=5,'DOE Fuel Esc Rates'!P210,"")))))</f>
        <v>3.0476190476190546E-2</v>
      </c>
      <c r="Q432" s="47">
        <f>IF('General Data'!$H$21=1,'DOE Fuel Esc Rates'!Q62,IF('General Data'!$H$21=2,'DOE Fuel Esc Rates'!Q99,IF('General Data'!$H$21=3,'DOE Fuel Esc Rates'!Q136,IF('General Data'!$H$21=4,'DOE Fuel Esc Rates'!Q173,IF('General Data'!$H$21=5,'DOE Fuel Esc Rates'!Q210,"")))))</f>
        <v>2.0979020979020824E-2</v>
      </c>
      <c r="R432" s="47">
        <f>IF('General Data'!$H$21=1,'DOE Fuel Esc Rates'!R62,IF('General Data'!$H$21=2,'DOE Fuel Esc Rates'!R99,IF('General Data'!$H$21=3,'DOE Fuel Esc Rates'!R136,IF('General Data'!$H$21=4,'DOE Fuel Esc Rates'!R173,IF('General Data'!$H$21=5,'DOE Fuel Esc Rates'!R210,"")))))</f>
        <v>6.0790273556230456E-3</v>
      </c>
      <c r="S432" s="44"/>
      <c r="T432" s="45">
        <f t="shared" si="13"/>
        <v>17</v>
      </c>
    </row>
    <row r="433" spans="1:20" x14ac:dyDescent="0.2">
      <c r="A433" s="45">
        <f>IF('General Data'!$H$21=1,'DOE Fuel Esc Rates'!A63,IF('General Data'!$H$21=2,'DOE Fuel Esc Rates'!A100,IF('General Data'!$H$21=3,'DOE Fuel Esc Rates'!A137,IF('General Data'!$H$21=4,'DOE Fuel Esc Rates'!A174,IF('General Data'!$H$21=5,'DOE Fuel Esc Rates'!A211,"")))))</f>
        <v>18</v>
      </c>
      <c r="B433" s="44"/>
      <c r="C433" s="47">
        <f>IF('General Data'!$H$21=1,'DOE Fuel Esc Rates'!C63,IF('General Data'!$H$21=2,'DOE Fuel Esc Rates'!C100,IF('General Data'!$H$21=3,'DOE Fuel Esc Rates'!C137,IF('General Data'!$H$21=4,'DOE Fuel Esc Rates'!C174,IF('General Data'!$H$21=5,'DOE Fuel Esc Rates'!C211,"")))))</f>
        <v>4.2138530418751596E-3</v>
      </c>
      <c r="D433" s="47">
        <f>IF('General Data'!$H$21=1,'DOE Fuel Esc Rates'!D63,IF('General Data'!$H$21=2,'DOE Fuel Esc Rates'!D100,IF('General Data'!$H$21=3,'DOE Fuel Esc Rates'!D137,IF('General Data'!$H$21=4,'DOE Fuel Esc Rates'!D174,IF('General Data'!$H$21=5,'DOE Fuel Esc Rates'!D211,"")))))</f>
        <v>2.2311631309436697E-2</v>
      </c>
      <c r="E433" s="47">
        <f>IF('General Data'!$H$21=1,'DOE Fuel Esc Rates'!E63,IF('General Data'!$H$21=2,'DOE Fuel Esc Rates'!E100,IF('General Data'!$H$21=3,'DOE Fuel Esc Rates'!E137,IF('General Data'!$H$21=4,'DOE Fuel Esc Rates'!E174,IF('General Data'!$H$21=5,'DOE Fuel Esc Rates'!E211,"")))))</f>
        <v>1.4592933947772835E-2</v>
      </c>
      <c r="F433" s="47">
        <f>IF('General Data'!$H$21=1,'DOE Fuel Esc Rates'!F63,IF('General Data'!$H$21=2,'DOE Fuel Esc Rates'!F100,IF('General Data'!$H$21=3,'DOE Fuel Esc Rates'!F137,IF('General Data'!$H$21=4,'DOE Fuel Esc Rates'!F174,IF('General Data'!$H$21=5,'DOE Fuel Esc Rates'!F211,"")))))</f>
        <v>7.8247261345854024E-3</v>
      </c>
      <c r="G433" s="44"/>
      <c r="H433" s="47">
        <f>IF('General Data'!$H$21=1,'DOE Fuel Esc Rates'!H63,IF('General Data'!$H$21=2,'DOE Fuel Esc Rates'!H100,IF('General Data'!$H$21=3,'DOE Fuel Esc Rates'!H137,IF('General Data'!$H$21=4,'DOE Fuel Esc Rates'!H174,IF('General Data'!$H$21=5,'DOE Fuel Esc Rates'!H211,"")))))</f>
        <v>2.1745883814849876E-3</v>
      </c>
      <c r="I433" s="47">
        <f>IF('General Data'!$H$21=1,'DOE Fuel Esc Rates'!I63,IF('General Data'!$H$21=2,'DOE Fuel Esc Rates'!I100,IF('General Data'!$H$21=3,'DOE Fuel Esc Rates'!I137,IF('General Data'!$H$21=4,'DOE Fuel Esc Rates'!I174,IF('General Data'!$H$21=5,'DOE Fuel Esc Rates'!I211,"")))))</f>
        <v>2.2520886305848142E-2</v>
      </c>
      <c r="J433" s="47">
        <f>IF('General Data'!$H$21=1,'DOE Fuel Esc Rates'!J63,IF('General Data'!$H$21=2,'DOE Fuel Esc Rates'!J100,IF('General Data'!$H$21=3,'DOE Fuel Esc Rates'!J137,IF('General Data'!$H$21=4,'DOE Fuel Esc Rates'!J174,IF('General Data'!$H$21=5,'DOE Fuel Esc Rates'!J211,"")))))</f>
        <v>2.8220858895705581E-2</v>
      </c>
      <c r="K433" s="47">
        <f>IF('General Data'!$H$21=1,'DOE Fuel Esc Rates'!K63,IF('General Data'!$H$21=2,'DOE Fuel Esc Rates'!K100,IF('General Data'!$H$21=3,'DOE Fuel Esc Rates'!K137,IF('General Data'!$H$21=4,'DOE Fuel Esc Rates'!K174,IF('General Data'!$H$21=5,'DOE Fuel Esc Rates'!K211,"")))))</f>
        <v>1.3333333333333419E-2</v>
      </c>
      <c r="L433" s="47">
        <f>IF('General Data'!$H$21=1,'DOE Fuel Esc Rates'!L63,IF('General Data'!$H$21=2,'DOE Fuel Esc Rates'!L100,IF('General Data'!$H$21=3,'DOE Fuel Esc Rates'!L137,IF('General Data'!$H$21=4,'DOE Fuel Esc Rates'!L174,IF('General Data'!$H$21=5,'DOE Fuel Esc Rates'!L211,"")))))</f>
        <v>8.4033613445377853E-3</v>
      </c>
      <c r="M433" s="44"/>
      <c r="N433" s="47">
        <f>IF('General Data'!$H$21=1,'DOE Fuel Esc Rates'!N63,IF('General Data'!$H$21=2,'DOE Fuel Esc Rates'!N100,IF('General Data'!$H$21=3,'DOE Fuel Esc Rates'!N137,IF('General Data'!$H$21=4,'DOE Fuel Esc Rates'!N174,IF('General Data'!$H$21=5,'DOE Fuel Esc Rates'!N211,"")))))</f>
        <v>5.657708628005631E-3</v>
      </c>
      <c r="O433" s="47">
        <f>IF('General Data'!$H$21=1,'DOE Fuel Esc Rates'!O63,IF('General Data'!$H$21=2,'DOE Fuel Esc Rates'!O100,IF('General Data'!$H$21=3,'DOE Fuel Esc Rates'!O137,IF('General Data'!$H$21=4,'DOE Fuel Esc Rates'!O174,IF('General Data'!$H$21=5,'DOE Fuel Esc Rates'!O211,"")))))</f>
        <v>2.2735743570629907E-2</v>
      </c>
      <c r="P433" s="47">
        <f>IF('General Data'!$H$21=1,'DOE Fuel Esc Rates'!P63,IF('General Data'!$H$21=2,'DOE Fuel Esc Rates'!P100,IF('General Data'!$H$21=3,'DOE Fuel Esc Rates'!P137,IF('General Data'!$H$21=4,'DOE Fuel Esc Rates'!P174,IF('General Data'!$H$21=5,'DOE Fuel Esc Rates'!P211,"")))))</f>
        <v>2.8342575477510845E-2</v>
      </c>
      <c r="Q433" s="47">
        <f>IF('General Data'!$H$21=1,'DOE Fuel Esc Rates'!Q63,IF('General Data'!$H$21=2,'DOE Fuel Esc Rates'!Q100,IF('General Data'!$H$21=3,'DOE Fuel Esc Rates'!Q137,IF('General Data'!$H$21=4,'DOE Fuel Esc Rates'!Q174,IF('General Data'!$H$21=5,'DOE Fuel Esc Rates'!Q211,"")))))</f>
        <v>1.5068493150685036E-2</v>
      </c>
      <c r="R433" s="47">
        <f>IF('General Data'!$H$21=1,'DOE Fuel Esc Rates'!R63,IF('General Data'!$H$21=2,'DOE Fuel Esc Rates'!R100,IF('General Data'!$H$21=3,'DOE Fuel Esc Rates'!R137,IF('General Data'!$H$21=4,'DOE Fuel Esc Rates'!R174,IF('General Data'!$H$21=5,'DOE Fuel Esc Rates'!R211,"")))))</f>
        <v>9.0634441087613649E-3</v>
      </c>
      <c r="S433" s="44"/>
      <c r="T433" s="45">
        <f t="shared" si="13"/>
        <v>18</v>
      </c>
    </row>
    <row r="434" spans="1:20" x14ac:dyDescent="0.2">
      <c r="A434" s="45">
        <f>IF('General Data'!$H$21=1,'DOE Fuel Esc Rates'!A64,IF('General Data'!$H$21=2,'DOE Fuel Esc Rates'!A101,IF('General Data'!$H$21=3,'DOE Fuel Esc Rates'!A138,IF('General Data'!$H$21=4,'DOE Fuel Esc Rates'!A175,IF('General Data'!$H$21=5,'DOE Fuel Esc Rates'!A212,"")))))</f>
        <v>19</v>
      </c>
      <c r="B434" s="44"/>
      <c r="C434" s="47">
        <f>IF('General Data'!$H$21=1,'DOE Fuel Esc Rates'!C64,IF('General Data'!$H$21=2,'DOE Fuel Esc Rates'!C101,IF('General Data'!$H$21=3,'DOE Fuel Esc Rates'!C138,IF('General Data'!$H$21=4,'DOE Fuel Esc Rates'!C175,IF('General Data'!$H$21=5,'DOE Fuel Esc Rates'!C212,"")))))</f>
        <v>3.1471282454760274E-3</v>
      </c>
      <c r="D434" s="47">
        <f>IF('General Data'!$H$21=1,'DOE Fuel Esc Rates'!D64,IF('General Data'!$H$21=2,'DOE Fuel Esc Rates'!D101,IF('General Data'!$H$21=3,'DOE Fuel Esc Rates'!D138,IF('General Data'!$H$21=4,'DOE Fuel Esc Rates'!D175,IF('General Data'!$H$21=5,'DOE Fuel Esc Rates'!D212,"")))))</f>
        <v>2.2898032200357799E-2</v>
      </c>
      <c r="E434" s="47">
        <f>IF('General Data'!$H$21=1,'DOE Fuel Esc Rates'!E64,IF('General Data'!$H$21=2,'DOE Fuel Esc Rates'!E101,IF('General Data'!$H$21=3,'DOE Fuel Esc Rates'!E138,IF('General Data'!$H$21=4,'DOE Fuel Esc Rates'!E175,IF('General Data'!$H$21=5,'DOE Fuel Esc Rates'!E212,"")))))</f>
        <v>1.2869038607115746E-2</v>
      </c>
      <c r="F434" s="47">
        <f>IF('General Data'!$H$21=1,'DOE Fuel Esc Rates'!F64,IF('General Data'!$H$21=2,'DOE Fuel Esc Rates'!F101,IF('General Data'!$H$21=3,'DOE Fuel Esc Rates'!F138,IF('General Data'!$H$21=4,'DOE Fuel Esc Rates'!F175,IF('General Data'!$H$21=5,'DOE Fuel Esc Rates'!F212,"")))))</f>
        <v>7.763975155279379E-3</v>
      </c>
      <c r="G434" s="44"/>
      <c r="H434" s="47">
        <f>IF('General Data'!$H$21=1,'DOE Fuel Esc Rates'!H64,IF('General Data'!$H$21=2,'DOE Fuel Esc Rates'!H101,IF('General Data'!$H$21=3,'DOE Fuel Esc Rates'!H138,IF('General Data'!$H$21=4,'DOE Fuel Esc Rates'!H175,IF('General Data'!$H$21=5,'DOE Fuel Esc Rates'!H212,"")))))</f>
        <v>1.2399256044637319E-3</v>
      </c>
      <c r="I434" s="47">
        <f>IF('General Data'!$H$21=1,'DOE Fuel Esc Rates'!I64,IF('General Data'!$H$21=2,'DOE Fuel Esc Rates'!I101,IF('General Data'!$H$21=3,'DOE Fuel Esc Rates'!I138,IF('General Data'!$H$21=4,'DOE Fuel Esc Rates'!I175,IF('General Data'!$H$21=5,'DOE Fuel Esc Rates'!I212,"")))))</f>
        <v>2.2735346358792263E-2</v>
      </c>
      <c r="J434" s="47">
        <f>IF('General Data'!$H$21=1,'DOE Fuel Esc Rates'!J64,IF('General Data'!$H$21=2,'DOE Fuel Esc Rates'!J101,IF('General Data'!$H$21=3,'DOE Fuel Esc Rates'!J138,IF('General Data'!$H$21=4,'DOE Fuel Esc Rates'!J175,IF('General Data'!$H$21=5,'DOE Fuel Esc Rates'!J212,"")))))</f>
        <v>3.0429594272076255E-2</v>
      </c>
      <c r="K434" s="47">
        <f>IF('General Data'!$H$21=1,'DOE Fuel Esc Rates'!K64,IF('General Data'!$H$21=2,'DOE Fuel Esc Rates'!K101,IF('General Data'!$H$21=3,'DOE Fuel Esc Rates'!K138,IF('General Data'!$H$21=4,'DOE Fuel Esc Rates'!K175,IF('General Data'!$H$21=5,'DOE Fuel Esc Rates'!K212,"")))))</f>
        <v>1.2280701754385781E-2</v>
      </c>
      <c r="L434" s="47">
        <f>IF('General Data'!$H$21=1,'DOE Fuel Esc Rates'!L64,IF('General Data'!$H$21=2,'DOE Fuel Esc Rates'!L101,IF('General Data'!$H$21=3,'DOE Fuel Esc Rates'!L138,IF('General Data'!$H$21=4,'DOE Fuel Esc Rates'!L175,IF('General Data'!$H$21=5,'DOE Fuel Esc Rates'!L212,"")))))</f>
        <v>1.2500000000000178E-2</v>
      </c>
      <c r="M434" s="44"/>
      <c r="N434" s="47">
        <f>IF('General Data'!$H$21=1,'DOE Fuel Esc Rates'!N64,IF('General Data'!$H$21=2,'DOE Fuel Esc Rates'!N101,IF('General Data'!$H$21=3,'DOE Fuel Esc Rates'!N138,IF('General Data'!$H$21=4,'DOE Fuel Esc Rates'!N175,IF('General Data'!$H$21=5,'DOE Fuel Esc Rates'!N212,"")))))</f>
        <v>4.6882325363337696E-3</v>
      </c>
      <c r="O434" s="47">
        <f>IF('General Data'!$H$21=1,'DOE Fuel Esc Rates'!O64,IF('General Data'!$H$21=2,'DOE Fuel Esc Rates'!O101,IF('General Data'!$H$21=3,'DOE Fuel Esc Rates'!O138,IF('General Data'!$H$21=4,'DOE Fuel Esc Rates'!O175,IF('General Data'!$H$21=5,'DOE Fuel Esc Rates'!O212,"")))))</f>
        <v>2.3688046647230232E-2</v>
      </c>
      <c r="P434" s="47">
        <f>IF('General Data'!$H$21=1,'DOE Fuel Esc Rates'!P64,IF('General Data'!$H$21=2,'DOE Fuel Esc Rates'!P101,IF('General Data'!$H$21=3,'DOE Fuel Esc Rates'!P138,IF('General Data'!$H$21=4,'DOE Fuel Esc Rates'!P175,IF('General Data'!$H$21=5,'DOE Fuel Esc Rates'!P212,"")))))</f>
        <v>3.1156381066506755E-2</v>
      </c>
      <c r="Q434" s="47">
        <f>IF('General Data'!$H$21=1,'DOE Fuel Esc Rates'!Q64,IF('General Data'!$H$21=2,'DOE Fuel Esc Rates'!Q101,IF('General Data'!$H$21=3,'DOE Fuel Esc Rates'!Q138,IF('General Data'!$H$21=4,'DOE Fuel Esc Rates'!Q175,IF('General Data'!$H$21=5,'DOE Fuel Esc Rates'!Q212,"")))))</f>
        <v>1.4844804318488558E-2</v>
      </c>
      <c r="R434" s="47">
        <f>IF('General Data'!$H$21=1,'DOE Fuel Esc Rates'!R64,IF('General Data'!$H$21=2,'DOE Fuel Esc Rates'!R101,IF('General Data'!$H$21=3,'DOE Fuel Esc Rates'!R138,IF('General Data'!$H$21=4,'DOE Fuel Esc Rates'!R175,IF('General Data'!$H$21=5,'DOE Fuel Esc Rates'!R212,"")))))</f>
        <v>5.9880239520957446E-3</v>
      </c>
      <c r="S434" s="44"/>
      <c r="T434" s="45">
        <f t="shared" si="13"/>
        <v>19</v>
      </c>
    </row>
    <row r="435" spans="1:20" x14ac:dyDescent="0.2">
      <c r="A435" s="45">
        <f>IF('General Data'!$H$21=1,'DOE Fuel Esc Rates'!A65,IF('General Data'!$H$21=2,'DOE Fuel Esc Rates'!A102,IF('General Data'!$H$21=3,'DOE Fuel Esc Rates'!A139,IF('General Data'!$H$21=4,'DOE Fuel Esc Rates'!A176,IF('General Data'!$H$21=5,'DOE Fuel Esc Rates'!A213,"")))))</f>
        <v>20</v>
      </c>
      <c r="B435" s="44"/>
      <c r="C435" s="47">
        <f>IF('General Data'!$H$21=1,'DOE Fuel Esc Rates'!C65,IF('General Data'!$H$21=2,'DOE Fuel Esc Rates'!C102,IF('General Data'!$H$21=3,'DOE Fuel Esc Rates'!C139,IF('General Data'!$H$21=4,'DOE Fuel Esc Rates'!C176,IF('General Data'!$H$21=5,'DOE Fuel Esc Rates'!C213,"")))))</f>
        <v>3.6601307189543242E-3</v>
      </c>
      <c r="D435" s="47">
        <f>IF('General Data'!$H$21=1,'DOE Fuel Esc Rates'!D65,IF('General Data'!$H$21=2,'DOE Fuel Esc Rates'!D102,IF('General Data'!$H$21=3,'DOE Fuel Esc Rates'!D139,IF('General Data'!$H$21=4,'DOE Fuel Esc Rates'!D176,IF('General Data'!$H$21=5,'DOE Fuel Esc Rates'!D213,"")))))</f>
        <v>2.2035676810073346E-2</v>
      </c>
      <c r="E435" s="47">
        <f>IF('General Data'!$H$21=1,'DOE Fuel Esc Rates'!E65,IF('General Data'!$H$21=2,'DOE Fuel Esc Rates'!E102,IF('General Data'!$H$21=3,'DOE Fuel Esc Rates'!E139,IF('General Data'!$H$21=4,'DOE Fuel Esc Rates'!E176,IF('General Data'!$H$21=5,'DOE Fuel Esc Rates'!E213,"")))))</f>
        <v>1.5695067264573925E-2</v>
      </c>
      <c r="F435" s="47">
        <f>IF('General Data'!$H$21=1,'DOE Fuel Esc Rates'!F65,IF('General Data'!$H$21=2,'DOE Fuel Esc Rates'!F102,IF('General Data'!$H$21=3,'DOE Fuel Esc Rates'!F139,IF('General Data'!$H$21=4,'DOE Fuel Esc Rates'!F176,IF('General Data'!$H$21=5,'DOE Fuel Esc Rates'!F213,"")))))</f>
        <v>7.7041602465330872E-3</v>
      </c>
      <c r="G435" s="44"/>
      <c r="H435" s="47">
        <f>IF('General Data'!$H$21=1,'DOE Fuel Esc Rates'!H65,IF('General Data'!$H$21=2,'DOE Fuel Esc Rates'!H102,IF('General Data'!$H$21=3,'DOE Fuel Esc Rates'!H139,IF('General Data'!$H$21=4,'DOE Fuel Esc Rates'!H176,IF('General Data'!$H$21=5,'DOE Fuel Esc Rates'!H213,"")))))</f>
        <v>2.1671826625386803E-3</v>
      </c>
      <c r="I435" s="47">
        <f>IF('General Data'!$H$21=1,'DOE Fuel Esc Rates'!I65,IF('General Data'!$H$21=2,'DOE Fuel Esc Rates'!I102,IF('General Data'!$H$21=3,'DOE Fuel Esc Rates'!I139,IF('General Data'!$H$21=4,'DOE Fuel Esc Rates'!I176,IF('General Data'!$H$21=5,'DOE Fuel Esc Rates'!I213,"")))))</f>
        <v>2.1882598124348895E-2</v>
      </c>
      <c r="J435" s="47">
        <f>IF('General Data'!$H$21=1,'DOE Fuel Esc Rates'!J65,IF('General Data'!$H$21=2,'DOE Fuel Esc Rates'!J102,IF('General Data'!$H$21=3,'DOE Fuel Esc Rates'!J139,IF('General Data'!$H$21=4,'DOE Fuel Esc Rates'!J176,IF('General Data'!$H$21=5,'DOE Fuel Esc Rates'!J213,"")))))</f>
        <v>3.0689056166763207E-2</v>
      </c>
      <c r="K435" s="47">
        <f>IF('General Data'!$H$21=1,'DOE Fuel Esc Rates'!K65,IF('General Data'!$H$21=2,'DOE Fuel Esc Rates'!K102,IF('General Data'!$H$21=3,'DOE Fuel Esc Rates'!K139,IF('General Data'!$H$21=4,'DOE Fuel Esc Rates'!K176,IF('General Data'!$H$21=5,'DOE Fuel Esc Rates'!K213,"")))))</f>
        <v>1.7331022530329365E-2</v>
      </c>
      <c r="L435" s="47">
        <f>IF('General Data'!$H$21=1,'DOE Fuel Esc Rates'!L65,IF('General Data'!$H$21=2,'DOE Fuel Esc Rates'!L102,IF('General Data'!$H$21=3,'DOE Fuel Esc Rates'!L139,IF('General Data'!$H$21=4,'DOE Fuel Esc Rates'!L176,IF('General Data'!$H$21=5,'DOE Fuel Esc Rates'!L213,"")))))</f>
        <v>1.0288065843621297E-2</v>
      </c>
      <c r="M435" s="44"/>
      <c r="N435" s="47">
        <f>IF('General Data'!$H$21=1,'DOE Fuel Esc Rates'!N65,IF('General Data'!$H$21=2,'DOE Fuel Esc Rates'!N102,IF('General Data'!$H$21=3,'DOE Fuel Esc Rates'!N139,IF('General Data'!$H$21=4,'DOE Fuel Esc Rates'!N176,IF('General Data'!$H$21=5,'DOE Fuel Esc Rates'!N213,"")))))</f>
        <v>5.1329911339244028E-3</v>
      </c>
      <c r="O435" s="47">
        <f>IF('General Data'!$H$21=1,'DOE Fuel Esc Rates'!O65,IF('General Data'!$H$21=2,'DOE Fuel Esc Rates'!O102,IF('General Data'!$H$21=3,'DOE Fuel Esc Rates'!O139,IF('General Data'!$H$21=4,'DOE Fuel Esc Rates'!O176,IF('General Data'!$H$21=5,'DOE Fuel Esc Rates'!O213,"")))))</f>
        <v>2.2071911712353121E-2</v>
      </c>
      <c r="P435" s="47">
        <f>IF('General Data'!$H$21=1,'DOE Fuel Esc Rates'!P65,IF('General Data'!$H$21=2,'DOE Fuel Esc Rates'!P102,IF('General Data'!$H$21=3,'DOE Fuel Esc Rates'!P139,IF('General Data'!$H$21=4,'DOE Fuel Esc Rates'!P176,IF('General Data'!$H$21=5,'DOE Fuel Esc Rates'!P213,"")))))</f>
        <v>3.0214991284137183E-2</v>
      </c>
      <c r="Q435" s="47">
        <f>IF('General Data'!$H$21=1,'DOE Fuel Esc Rates'!Q65,IF('General Data'!$H$21=2,'DOE Fuel Esc Rates'!Q102,IF('General Data'!$H$21=3,'DOE Fuel Esc Rates'!Q139,IF('General Data'!$H$21=4,'DOE Fuel Esc Rates'!Q176,IF('General Data'!$H$21=5,'DOE Fuel Esc Rates'!Q213,"")))))</f>
        <v>2.1276595744680771E-2</v>
      </c>
      <c r="R435" s="47">
        <f>IF('General Data'!$H$21=1,'DOE Fuel Esc Rates'!R65,IF('General Data'!$H$21=2,'DOE Fuel Esc Rates'!R102,IF('General Data'!$H$21=3,'DOE Fuel Esc Rates'!R139,IF('General Data'!$H$21=4,'DOE Fuel Esc Rates'!R176,IF('General Data'!$H$21=5,'DOE Fuel Esc Rates'!R213,"")))))</f>
        <v>5.9523809523809312E-3</v>
      </c>
      <c r="S435" s="44"/>
      <c r="T435" s="45">
        <f t="shared" si="13"/>
        <v>20</v>
      </c>
    </row>
    <row r="436" spans="1:20" x14ac:dyDescent="0.2">
      <c r="A436" s="45">
        <f>IF('General Data'!$H$21=1,'DOE Fuel Esc Rates'!A66,IF('General Data'!$H$21=2,'DOE Fuel Esc Rates'!A103,IF('General Data'!$H$21=3,'DOE Fuel Esc Rates'!A140,IF('General Data'!$H$21=4,'DOE Fuel Esc Rates'!A177,IF('General Data'!$H$21=5,'DOE Fuel Esc Rates'!A214,"")))))</f>
        <v>21</v>
      </c>
      <c r="B436" s="44"/>
      <c r="C436" s="47">
        <f>IF('General Data'!$H$21=1,'DOE Fuel Esc Rates'!C66,IF('General Data'!$H$21=2,'DOE Fuel Esc Rates'!C103,IF('General Data'!$H$21=3,'DOE Fuel Esc Rates'!C140,IF('General Data'!$H$21=4,'DOE Fuel Esc Rates'!C177,IF('General Data'!$H$21=5,'DOE Fuel Esc Rates'!C214,"")))))</f>
        <v>4.4282365199270757E-3</v>
      </c>
      <c r="D436" s="47">
        <f>IF('General Data'!$H$21=1,'DOE Fuel Esc Rates'!D66,IF('General Data'!$H$21=2,'DOE Fuel Esc Rates'!D103,IF('General Data'!$H$21=3,'DOE Fuel Esc Rates'!D140,IF('General Data'!$H$21=4,'DOE Fuel Esc Rates'!D177,IF('General Data'!$H$21=5,'DOE Fuel Esc Rates'!D214,"")))))</f>
        <v>2.2245037645448384E-2</v>
      </c>
      <c r="E436" s="47">
        <f>IF('General Data'!$H$21=1,'DOE Fuel Esc Rates'!E66,IF('General Data'!$H$21=2,'DOE Fuel Esc Rates'!E103,IF('General Data'!$H$21=3,'DOE Fuel Esc Rates'!E140,IF('General Data'!$H$21=4,'DOE Fuel Esc Rates'!E177,IF('General Data'!$H$21=5,'DOE Fuel Esc Rates'!E214,"")))))</f>
        <v>1.6924208977189048E-2</v>
      </c>
      <c r="F436" s="47">
        <f>IF('General Data'!$H$21=1,'DOE Fuel Esc Rates'!F66,IF('General Data'!$H$21=2,'DOE Fuel Esc Rates'!F103,IF('General Data'!$H$21=3,'DOE Fuel Esc Rates'!F140,IF('General Data'!$H$21=4,'DOE Fuel Esc Rates'!F177,IF('General Data'!$H$21=5,'DOE Fuel Esc Rates'!F214,"")))))</f>
        <v>8.0275229357797961E-3</v>
      </c>
      <c r="G436" s="44"/>
      <c r="H436" s="47">
        <f>IF('General Data'!$H$21=1,'DOE Fuel Esc Rates'!H66,IF('General Data'!$H$21=2,'DOE Fuel Esc Rates'!H103,IF('General Data'!$H$21=3,'DOE Fuel Esc Rates'!H140,IF('General Data'!$H$21=4,'DOE Fuel Esc Rates'!H177,IF('General Data'!$H$21=5,'DOE Fuel Esc Rates'!H214,"")))))</f>
        <v>2.780352177942591E-3</v>
      </c>
      <c r="I436" s="47">
        <f>IF('General Data'!$H$21=1,'DOE Fuel Esc Rates'!I66,IF('General Data'!$H$21=2,'DOE Fuel Esc Rates'!I103,IF('General Data'!$H$21=3,'DOE Fuel Esc Rates'!I140,IF('General Data'!$H$21=4,'DOE Fuel Esc Rates'!I177,IF('General Data'!$H$21=5,'DOE Fuel Esc Rates'!I214,"")))))</f>
        <v>2.209381373215491E-2</v>
      </c>
      <c r="J436" s="47">
        <f>IF('General Data'!$H$21=1,'DOE Fuel Esc Rates'!J66,IF('General Data'!$H$21=2,'DOE Fuel Esc Rates'!J103,IF('General Data'!$H$21=3,'DOE Fuel Esc Rates'!J140,IF('General Data'!$H$21=4,'DOE Fuel Esc Rates'!J177,IF('General Data'!$H$21=5,'DOE Fuel Esc Rates'!J214,"")))))</f>
        <v>2.9213483146067309E-2</v>
      </c>
      <c r="K436" s="47">
        <f>IF('General Data'!$H$21=1,'DOE Fuel Esc Rates'!K66,IF('General Data'!$H$21=2,'DOE Fuel Esc Rates'!K103,IF('General Data'!$H$21=3,'DOE Fuel Esc Rates'!K140,IF('General Data'!$H$21=4,'DOE Fuel Esc Rates'!K177,IF('General Data'!$H$21=5,'DOE Fuel Esc Rates'!K214,"")))))</f>
        <v>1.7035775127768327E-2</v>
      </c>
      <c r="L436" s="47">
        <f>IF('General Data'!$H$21=1,'DOE Fuel Esc Rates'!L66,IF('General Data'!$H$21=2,'DOE Fuel Esc Rates'!L103,IF('General Data'!$H$21=3,'DOE Fuel Esc Rates'!L140,IF('General Data'!$H$21=4,'DOE Fuel Esc Rates'!L177,IF('General Data'!$H$21=5,'DOE Fuel Esc Rates'!L214,"")))))</f>
        <v>6.109979633401208E-3</v>
      </c>
      <c r="M436" s="44"/>
      <c r="N436" s="47">
        <f>IF('General Data'!$H$21=1,'DOE Fuel Esc Rates'!N66,IF('General Data'!$H$21=2,'DOE Fuel Esc Rates'!N103,IF('General Data'!$H$21=3,'DOE Fuel Esc Rates'!N140,IF('General Data'!$H$21=4,'DOE Fuel Esc Rates'!N177,IF('General Data'!$H$21=5,'DOE Fuel Esc Rates'!N214,"")))))</f>
        <v>5.5710306406686616E-3</v>
      </c>
      <c r="O436" s="47">
        <f>IF('General Data'!$H$21=1,'DOE Fuel Esc Rates'!O66,IF('General Data'!$H$21=2,'DOE Fuel Esc Rates'!O103,IF('General Data'!$H$21=3,'DOE Fuel Esc Rates'!O140,IF('General Data'!$H$21=4,'DOE Fuel Esc Rates'!O177,IF('General Data'!$H$21=5,'DOE Fuel Esc Rates'!O214,"")))))</f>
        <v>2.2640195053988066E-2</v>
      </c>
      <c r="P436" s="47">
        <f>IF('General Data'!$H$21=1,'DOE Fuel Esc Rates'!P66,IF('General Data'!$H$21=2,'DOE Fuel Esc Rates'!P103,IF('General Data'!$H$21=3,'DOE Fuel Esc Rates'!P140,IF('General Data'!$H$21=4,'DOE Fuel Esc Rates'!P177,IF('General Data'!$H$21=5,'DOE Fuel Esc Rates'!P214,"")))))</f>
        <v>2.932882120699376E-2</v>
      </c>
      <c r="Q436" s="47">
        <f>IF('General Data'!$H$21=1,'DOE Fuel Esc Rates'!Q66,IF('General Data'!$H$21=2,'DOE Fuel Esc Rates'!Q103,IF('General Data'!$H$21=3,'DOE Fuel Esc Rates'!Q140,IF('General Data'!$H$21=4,'DOE Fuel Esc Rates'!Q177,IF('General Data'!$H$21=5,'DOE Fuel Esc Rates'!Q214,"")))))</f>
        <v>2.0833333333333259E-2</v>
      </c>
      <c r="R436" s="47">
        <f>IF('General Data'!$H$21=1,'DOE Fuel Esc Rates'!R66,IF('General Data'!$H$21=2,'DOE Fuel Esc Rates'!R103,IF('General Data'!$H$21=3,'DOE Fuel Esc Rates'!R140,IF('General Data'!$H$21=4,'DOE Fuel Esc Rates'!R177,IF('General Data'!$H$21=5,'DOE Fuel Esc Rates'!R214,"")))))</f>
        <v>5.9171597633136397E-3</v>
      </c>
      <c r="S436" s="44"/>
      <c r="T436" s="45">
        <f t="shared" si="13"/>
        <v>21</v>
      </c>
    </row>
    <row r="437" spans="1:20" x14ac:dyDescent="0.2">
      <c r="A437" s="45">
        <f>IF('General Data'!$H$21=1,'DOE Fuel Esc Rates'!A67,IF('General Data'!$H$21=2,'DOE Fuel Esc Rates'!A104,IF('General Data'!$H$21=3,'DOE Fuel Esc Rates'!A141,IF('General Data'!$H$21=4,'DOE Fuel Esc Rates'!A178,IF('General Data'!$H$21=5,'DOE Fuel Esc Rates'!A215,"")))))</f>
        <v>22</v>
      </c>
      <c r="B437" s="44"/>
      <c r="C437" s="47">
        <f>IF('General Data'!$H$21=1,'DOE Fuel Esc Rates'!C67,IF('General Data'!$H$21=2,'DOE Fuel Esc Rates'!C104,IF('General Data'!$H$21=3,'DOE Fuel Esc Rates'!C141,IF('General Data'!$H$21=4,'DOE Fuel Esc Rates'!C178,IF('General Data'!$H$21=5,'DOE Fuel Esc Rates'!C215,"")))))</f>
        <v>5.9647302904564103E-3</v>
      </c>
      <c r="D437" s="47">
        <f>IF('General Data'!$H$21=1,'DOE Fuel Esc Rates'!D67,IF('General Data'!$H$21=2,'DOE Fuel Esc Rates'!D104,IF('General Data'!$H$21=3,'DOE Fuel Esc Rates'!D141,IF('General Data'!$H$21=4,'DOE Fuel Esc Rates'!D178,IF('General Data'!$H$21=5,'DOE Fuel Esc Rates'!D215,"")))))</f>
        <v>2.3100100435219151E-2</v>
      </c>
      <c r="E437" s="47">
        <f>IF('General Data'!$H$21=1,'DOE Fuel Esc Rates'!E67,IF('General Data'!$H$21=2,'DOE Fuel Esc Rates'!E104,IF('General Data'!$H$21=3,'DOE Fuel Esc Rates'!E141,IF('General Data'!$H$21=4,'DOE Fuel Esc Rates'!E178,IF('General Data'!$H$21=5,'DOE Fuel Esc Rates'!E215,"")))))</f>
        <v>1.1577424023154759E-2</v>
      </c>
      <c r="F437" s="47">
        <f>IF('General Data'!$H$21=1,'DOE Fuel Esc Rates'!F67,IF('General Data'!$H$21=2,'DOE Fuel Esc Rates'!F104,IF('General Data'!$H$21=3,'DOE Fuel Esc Rates'!F141,IF('General Data'!$H$21=4,'DOE Fuel Esc Rates'!F178,IF('General Data'!$H$21=5,'DOE Fuel Esc Rates'!F215,"")))))</f>
        <v>6.8259385665527805E-3</v>
      </c>
      <c r="G437" s="44"/>
      <c r="H437" s="47">
        <f>IF('General Data'!$H$21=1,'DOE Fuel Esc Rates'!H67,IF('General Data'!$H$21=2,'DOE Fuel Esc Rates'!H104,IF('General Data'!$H$21=3,'DOE Fuel Esc Rates'!H141,IF('General Data'!$H$21=4,'DOE Fuel Esc Rates'!H178,IF('General Data'!$H$21=5,'DOE Fuel Esc Rates'!H215,"")))))</f>
        <v>4.6210720887245316E-3</v>
      </c>
      <c r="I437" s="47">
        <f>IF('General Data'!$H$21=1,'DOE Fuel Esc Rates'!I67,IF('General Data'!$H$21=2,'DOE Fuel Esc Rates'!I104,IF('General Data'!$H$21=3,'DOE Fuel Esc Rates'!I141,IF('General Data'!$H$21=4,'DOE Fuel Esc Rates'!I178,IF('General Data'!$H$21=5,'DOE Fuel Esc Rates'!I215,"")))))</f>
        <v>2.2613900897904937E-2</v>
      </c>
      <c r="J437" s="47">
        <f>IF('General Data'!$H$21=1,'DOE Fuel Esc Rates'!J67,IF('General Data'!$H$21=2,'DOE Fuel Esc Rates'!J104,IF('General Data'!$H$21=3,'DOE Fuel Esc Rates'!J141,IF('General Data'!$H$21=4,'DOE Fuel Esc Rates'!J178,IF('General Data'!$H$21=5,'DOE Fuel Esc Rates'!J215,"")))))</f>
        <v>2.893013100436681E-2</v>
      </c>
      <c r="K437" s="47">
        <f>IF('General Data'!$H$21=1,'DOE Fuel Esc Rates'!K67,IF('General Data'!$H$21=2,'DOE Fuel Esc Rates'!K104,IF('General Data'!$H$21=3,'DOE Fuel Esc Rates'!K141,IF('General Data'!$H$21=4,'DOE Fuel Esc Rates'!K178,IF('General Data'!$H$21=5,'DOE Fuel Esc Rates'!K215,"")))))</f>
        <v>1.0050251256281451E-2</v>
      </c>
      <c r="L437" s="47">
        <f>IF('General Data'!$H$21=1,'DOE Fuel Esc Rates'!L67,IF('General Data'!$H$21=2,'DOE Fuel Esc Rates'!L104,IF('General Data'!$H$21=3,'DOE Fuel Esc Rates'!L141,IF('General Data'!$H$21=4,'DOE Fuel Esc Rates'!L178,IF('General Data'!$H$21=5,'DOE Fuel Esc Rates'!L215,"")))))</f>
        <v>1.4170040485829816E-2</v>
      </c>
      <c r="M437" s="44"/>
      <c r="N437" s="47">
        <f>IF('General Data'!$H$21=1,'DOE Fuel Esc Rates'!N67,IF('General Data'!$H$21=2,'DOE Fuel Esc Rates'!N104,IF('General Data'!$H$21=3,'DOE Fuel Esc Rates'!N141,IF('General Data'!$H$21=4,'DOE Fuel Esc Rates'!N178,IF('General Data'!$H$21=5,'DOE Fuel Esc Rates'!N215,"")))))</f>
        <v>8.310249307479145E-3</v>
      </c>
      <c r="O437" s="47">
        <f>IF('General Data'!$H$21=1,'DOE Fuel Esc Rates'!O67,IF('General Data'!$H$21=2,'DOE Fuel Esc Rates'!O104,IF('General Data'!$H$21=3,'DOE Fuel Esc Rates'!O141,IF('General Data'!$H$21=4,'DOE Fuel Esc Rates'!O178,IF('General Data'!$H$21=5,'DOE Fuel Esc Rates'!O215,"")))))</f>
        <v>2.3501362397820191E-2</v>
      </c>
      <c r="P437" s="47">
        <f>IF('General Data'!$H$21=1,'DOE Fuel Esc Rates'!P67,IF('General Data'!$H$21=2,'DOE Fuel Esc Rates'!P104,IF('General Data'!$H$21=3,'DOE Fuel Esc Rates'!P141,IF('General Data'!$H$21=4,'DOE Fuel Esc Rates'!P178,IF('General Data'!$H$21=5,'DOE Fuel Esc Rates'!P215,"")))))</f>
        <v>2.9041095890411039E-2</v>
      </c>
      <c r="Q437" s="47">
        <f>IF('General Data'!$H$21=1,'DOE Fuel Esc Rates'!Q67,IF('General Data'!$H$21=2,'DOE Fuel Esc Rates'!Q104,IF('General Data'!$H$21=3,'DOE Fuel Esc Rates'!Q141,IF('General Data'!$H$21=4,'DOE Fuel Esc Rates'!Q178,IF('General Data'!$H$21=5,'DOE Fuel Esc Rates'!Q215,"")))))</f>
        <v>1.1479591836734748E-2</v>
      </c>
      <c r="R437" s="47">
        <f>IF('General Data'!$H$21=1,'DOE Fuel Esc Rates'!R67,IF('General Data'!$H$21=2,'DOE Fuel Esc Rates'!R104,IF('General Data'!$H$21=3,'DOE Fuel Esc Rates'!R141,IF('General Data'!$H$21=4,'DOE Fuel Esc Rates'!R178,IF('General Data'!$H$21=5,'DOE Fuel Esc Rates'!R215,"")))))</f>
        <v>8.8235294117646745E-3</v>
      </c>
      <c r="S437" s="44"/>
      <c r="T437" s="45">
        <f t="shared" si="13"/>
        <v>22</v>
      </c>
    </row>
    <row r="438" spans="1:20" x14ac:dyDescent="0.2">
      <c r="A438" s="45">
        <f>IF('General Data'!$H$21=1,'DOE Fuel Esc Rates'!A68,IF('General Data'!$H$21=2,'DOE Fuel Esc Rates'!A105,IF('General Data'!$H$21=3,'DOE Fuel Esc Rates'!A142,IF('General Data'!$H$21=4,'DOE Fuel Esc Rates'!A179,IF('General Data'!$H$21=5,'DOE Fuel Esc Rates'!A216,"")))))</f>
        <v>23</v>
      </c>
      <c r="B438" s="44"/>
      <c r="C438" s="47">
        <f>IF('General Data'!$H$21=1,'DOE Fuel Esc Rates'!C68,IF('General Data'!$H$21=2,'DOE Fuel Esc Rates'!C105,IF('General Data'!$H$21=3,'DOE Fuel Esc Rates'!C142,IF('General Data'!$H$21=4,'DOE Fuel Esc Rates'!C179,IF('General Data'!$H$21=5,'DOE Fuel Esc Rates'!C216,"")))))</f>
        <v>6.444960041247727E-3</v>
      </c>
      <c r="D438" s="47">
        <f>IF('General Data'!$H$21=1,'DOE Fuel Esc Rates'!D68,IF('General Data'!$H$21=2,'DOE Fuel Esc Rates'!D105,IF('General Data'!$H$21=3,'DOE Fuel Esc Rates'!D142,IF('General Data'!$H$21=4,'DOE Fuel Esc Rates'!D179,IF('General Data'!$H$21=5,'DOE Fuel Esc Rates'!D216,"")))))</f>
        <v>2.3887434554973774E-2</v>
      </c>
      <c r="E438" s="47">
        <f>IF('General Data'!$H$21=1,'DOE Fuel Esc Rates'!E68,IF('General Data'!$H$21=2,'DOE Fuel Esc Rates'!E105,IF('General Data'!$H$21=3,'DOE Fuel Esc Rates'!E142,IF('General Data'!$H$21=4,'DOE Fuel Esc Rates'!E179,IF('General Data'!$H$21=5,'DOE Fuel Esc Rates'!E216,"")))))</f>
        <v>1.7167381974249052E-2</v>
      </c>
      <c r="F438" s="47">
        <f>IF('General Data'!$H$21=1,'DOE Fuel Esc Rates'!F68,IF('General Data'!$H$21=2,'DOE Fuel Esc Rates'!F105,IF('General Data'!$H$21=3,'DOE Fuel Esc Rates'!F142,IF('General Data'!$H$21=4,'DOE Fuel Esc Rates'!F179,IF('General Data'!$H$21=5,'DOE Fuel Esc Rates'!F216,"")))))</f>
        <v>7.1563088512240913E-3</v>
      </c>
      <c r="G438" s="44"/>
      <c r="H438" s="47">
        <f>IF('General Data'!$H$21=1,'DOE Fuel Esc Rates'!H68,IF('General Data'!$H$21=2,'DOE Fuel Esc Rates'!H105,IF('General Data'!$H$21=3,'DOE Fuel Esc Rates'!H142,IF('General Data'!$H$21=4,'DOE Fuel Esc Rates'!H179,IF('General Data'!$H$21=5,'DOE Fuel Esc Rates'!H216,"")))))</f>
        <v>4.9064704078505272E-3</v>
      </c>
      <c r="I438" s="47">
        <f>IF('General Data'!$H$21=1,'DOE Fuel Esc Rates'!I68,IF('General Data'!$H$21=2,'DOE Fuel Esc Rates'!I105,IF('General Data'!$H$21=3,'DOE Fuel Esc Rates'!I142,IF('General Data'!$H$21=4,'DOE Fuel Esc Rates'!I179,IF('General Data'!$H$21=5,'DOE Fuel Esc Rates'!I216,"")))))</f>
        <v>2.4065040650406377E-2</v>
      </c>
      <c r="J438" s="47">
        <f>IF('General Data'!$H$21=1,'DOE Fuel Esc Rates'!J68,IF('General Data'!$H$21=2,'DOE Fuel Esc Rates'!J105,IF('General Data'!$H$21=3,'DOE Fuel Esc Rates'!J142,IF('General Data'!$H$21=4,'DOE Fuel Esc Rates'!J179,IF('General Data'!$H$21=5,'DOE Fuel Esc Rates'!J216,"")))))</f>
        <v>2.9708222811670959E-2</v>
      </c>
      <c r="K438" s="47">
        <f>IF('General Data'!$H$21=1,'DOE Fuel Esc Rates'!K68,IF('General Data'!$H$21=2,'DOE Fuel Esc Rates'!K105,IF('General Data'!$H$21=3,'DOE Fuel Esc Rates'!K142,IF('General Data'!$H$21=4,'DOE Fuel Esc Rates'!K179,IF('General Data'!$H$21=5,'DOE Fuel Esc Rates'!K216,"")))))</f>
        <v>1.8242122719734466E-2</v>
      </c>
      <c r="L438" s="47">
        <f>IF('General Data'!$H$21=1,'DOE Fuel Esc Rates'!L68,IF('General Data'!$H$21=2,'DOE Fuel Esc Rates'!L105,IF('General Data'!$H$21=3,'DOE Fuel Esc Rates'!L142,IF('General Data'!$H$21=4,'DOE Fuel Esc Rates'!L179,IF('General Data'!$H$21=5,'DOE Fuel Esc Rates'!L216,"")))))</f>
        <v>9.9800399201597223E-3</v>
      </c>
      <c r="M438" s="44"/>
      <c r="N438" s="47">
        <f>IF('General Data'!$H$21=1,'DOE Fuel Esc Rates'!N68,IF('General Data'!$H$21=2,'DOE Fuel Esc Rates'!N105,IF('General Data'!$H$21=3,'DOE Fuel Esc Rates'!N142,IF('General Data'!$H$21=4,'DOE Fuel Esc Rates'!N179,IF('General Data'!$H$21=5,'DOE Fuel Esc Rates'!N216,"")))))</f>
        <v>9.6153846153845812E-3</v>
      </c>
      <c r="O438" s="47">
        <f>IF('General Data'!$H$21=1,'DOE Fuel Esc Rates'!O68,IF('General Data'!$H$21=2,'DOE Fuel Esc Rates'!O105,IF('General Data'!$H$21=3,'DOE Fuel Esc Rates'!O142,IF('General Data'!$H$21=4,'DOE Fuel Esc Rates'!O179,IF('General Data'!$H$21=5,'DOE Fuel Esc Rates'!O216,"")))))</f>
        <v>2.4625623960066401E-2</v>
      </c>
      <c r="P438" s="47">
        <f>IF('General Data'!$H$21=1,'DOE Fuel Esc Rates'!P68,IF('General Data'!$H$21=2,'DOE Fuel Esc Rates'!P105,IF('General Data'!$H$21=3,'DOE Fuel Esc Rates'!P142,IF('General Data'!$H$21=4,'DOE Fuel Esc Rates'!P179,IF('General Data'!$H$21=5,'DOE Fuel Esc Rates'!P216,"")))))</f>
        <v>2.9818956336528091E-2</v>
      </c>
      <c r="Q438" s="47">
        <f>IF('General Data'!$H$21=1,'DOE Fuel Esc Rates'!Q68,IF('General Data'!$H$21=2,'DOE Fuel Esc Rates'!Q105,IF('General Data'!$H$21=3,'DOE Fuel Esc Rates'!Q142,IF('General Data'!$H$21=4,'DOE Fuel Esc Rates'!Q179,IF('General Data'!$H$21=5,'DOE Fuel Esc Rates'!Q216,"")))))</f>
        <v>2.2698612862547263E-2</v>
      </c>
      <c r="R438" s="47">
        <f>IF('General Data'!$H$21=1,'DOE Fuel Esc Rates'!R68,IF('General Data'!$H$21=2,'DOE Fuel Esc Rates'!R105,IF('General Data'!$H$21=3,'DOE Fuel Esc Rates'!R142,IF('General Data'!$H$21=4,'DOE Fuel Esc Rates'!R179,IF('General Data'!$H$21=5,'DOE Fuel Esc Rates'!R216,"")))))</f>
        <v>5.8309037900874383E-3</v>
      </c>
      <c r="S438" s="44"/>
      <c r="T438" s="45">
        <f t="shared" si="13"/>
        <v>23</v>
      </c>
    </row>
    <row r="439" spans="1:20" x14ac:dyDescent="0.2">
      <c r="A439" s="45">
        <f>IF('General Data'!$H$21=1,'DOE Fuel Esc Rates'!A69,IF('General Data'!$H$21=2,'DOE Fuel Esc Rates'!A106,IF('General Data'!$H$21=3,'DOE Fuel Esc Rates'!A143,IF('General Data'!$H$21=4,'DOE Fuel Esc Rates'!A180,IF('General Data'!$H$21=5,'DOE Fuel Esc Rates'!A217,"")))))</f>
        <v>24</v>
      </c>
      <c r="B439" s="44"/>
      <c r="C439" s="47">
        <f>IF('General Data'!$H$21=1,'DOE Fuel Esc Rates'!C69,IF('General Data'!$H$21=2,'DOE Fuel Esc Rates'!C106,IF('General Data'!$H$21=3,'DOE Fuel Esc Rates'!C143,IF('General Data'!$H$21=4,'DOE Fuel Esc Rates'!C180,IF('General Data'!$H$21=5,'DOE Fuel Esc Rates'!C217,"")))))</f>
        <v>5.8913934426230163E-3</v>
      </c>
      <c r="D439" s="47">
        <f>IF('General Data'!$H$21=1,'DOE Fuel Esc Rates'!D69,IF('General Data'!$H$21=2,'DOE Fuel Esc Rates'!D106,IF('General Data'!$H$21=3,'DOE Fuel Esc Rates'!D143,IF('General Data'!$H$21=4,'DOE Fuel Esc Rates'!D180,IF('General Data'!$H$21=5,'DOE Fuel Esc Rates'!D217,"")))))</f>
        <v>2.301054650047929E-2</v>
      </c>
      <c r="E439" s="47">
        <f>IF('General Data'!$H$21=1,'DOE Fuel Esc Rates'!E69,IF('General Data'!$H$21=2,'DOE Fuel Esc Rates'!E106,IF('General Data'!$H$21=3,'DOE Fuel Esc Rates'!E143,IF('General Data'!$H$21=4,'DOE Fuel Esc Rates'!E180,IF('General Data'!$H$21=5,'DOE Fuel Esc Rates'!E217,"")))))</f>
        <v>2.3909985935302469E-2</v>
      </c>
      <c r="F439" s="47">
        <f>IF('General Data'!$H$21=1,'DOE Fuel Esc Rates'!F69,IF('General Data'!$H$21=2,'DOE Fuel Esc Rates'!F106,IF('General Data'!$H$21=3,'DOE Fuel Esc Rates'!F143,IF('General Data'!$H$21=4,'DOE Fuel Esc Rates'!F180,IF('General Data'!$H$21=5,'DOE Fuel Esc Rates'!F217,"")))))</f>
        <v>8.9753178758416041E-3</v>
      </c>
      <c r="G439" s="44"/>
      <c r="H439" s="47">
        <f>IF('General Data'!$H$21=1,'DOE Fuel Esc Rates'!H69,IF('General Data'!$H$21=2,'DOE Fuel Esc Rates'!H106,IF('General Data'!$H$21=3,'DOE Fuel Esc Rates'!H143,IF('General Data'!$H$21=4,'DOE Fuel Esc Rates'!H180,IF('General Data'!$H$21=5,'DOE Fuel Esc Rates'!H217,"")))))</f>
        <v>4.8825144949649069E-3</v>
      </c>
      <c r="I439" s="47">
        <f>IF('General Data'!$H$21=1,'DOE Fuel Esc Rates'!I69,IF('General Data'!$H$21=2,'DOE Fuel Esc Rates'!I106,IF('General Data'!$H$21=3,'DOE Fuel Esc Rates'!I143,IF('General Data'!$H$21=4,'DOE Fuel Esc Rates'!I180,IF('General Data'!$H$21=5,'DOE Fuel Esc Rates'!I217,"")))))</f>
        <v>2.2864401397268974E-2</v>
      </c>
      <c r="J439" s="47">
        <f>IF('General Data'!$H$21=1,'DOE Fuel Esc Rates'!J69,IF('General Data'!$H$21=2,'DOE Fuel Esc Rates'!J106,IF('General Data'!$H$21=3,'DOE Fuel Esc Rates'!J143,IF('General Data'!$H$21=4,'DOE Fuel Esc Rates'!J180,IF('General Data'!$H$21=5,'DOE Fuel Esc Rates'!J217,"")))))</f>
        <v>4.4307058217413653E-2</v>
      </c>
      <c r="K439" s="47">
        <f>IF('General Data'!$H$21=1,'DOE Fuel Esc Rates'!K69,IF('General Data'!$H$21=2,'DOE Fuel Esc Rates'!K106,IF('General Data'!$H$21=3,'DOE Fuel Esc Rates'!K143,IF('General Data'!$H$21=4,'DOE Fuel Esc Rates'!K180,IF('General Data'!$H$21=5,'DOE Fuel Esc Rates'!K217,"")))))</f>
        <v>2.6058631921824116E-2</v>
      </c>
      <c r="L439" s="47">
        <f>IF('General Data'!$H$21=1,'DOE Fuel Esc Rates'!L69,IF('General Data'!$H$21=2,'DOE Fuel Esc Rates'!L106,IF('General Data'!$H$21=3,'DOE Fuel Esc Rates'!L143,IF('General Data'!$H$21=4,'DOE Fuel Esc Rates'!L180,IF('General Data'!$H$21=5,'DOE Fuel Esc Rates'!L217,"")))))</f>
        <v>1.5810276679841806E-2</v>
      </c>
      <c r="M439" s="44"/>
      <c r="N439" s="47">
        <f>IF('General Data'!$H$21=1,'DOE Fuel Esc Rates'!N69,IF('General Data'!$H$21=2,'DOE Fuel Esc Rates'!N106,IF('General Data'!$H$21=3,'DOE Fuel Esc Rates'!N143,IF('General Data'!$H$21=4,'DOE Fuel Esc Rates'!N180,IF('General Data'!$H$21=5,'DOE Fuel Esc Rates'!N217,"")))))</f>
        <v>8.1632653061225469E-3</v>
      </c>
      <c r="O439" s="47">
        <f>IF('General Data'!$H$21=1,'DOE Fuel Esc Rates'!O69,IF('General Data'!$H$21=2,'DOE Fuel Esc Rates'!O106,IF('General Data'!$H$21=3,'DOE Fuel Esc Rates'!O143,IF('General Data'!$H$21=4,'DOE Fuel Esc Rates'!O180,IF('General Data'!$H$21=5,'DOE Fuel Esc Rates'!O217,"")))))</f>
        <v>2.305943488145501E-2</v>
      </c>
      <c r="P439" s="47">
        <f>IF('General Data'!$H$21=1,'DOE Fuel Esc Rates'!P69,IF('General Data'!$H$21=2,'DOE Fuel Esc Rates'!P106,IF('General Data'!$H$21=3,'DOE Fuel Esc Rates'!P143,IF('General Data'!$H$21=4,'DOE Fuel Esc Rates'!P180,IF('General Data'!$H$21=5,'DOE Fuel Esc Rates'!P217,"")))))</f>
        <v>4.4467425025853213E-2</v>
      </c>
      <c r="Q439" s="47">
        <f>IF('General Data'!$H$21=1,'DOE Fuel Esc Rates'!Q69,IF('General Data'!$H$21=2,'DOE Fuel Esc Rates'!Q106,IF('General Data'!$H$21=3,'DOE Fuel Esc Rates'!Q143,IF('General Data'!$H$21=4,'DOE Fuel Esc Rates'!Q180,IF('General Data'!$H$21=5,'DOE Fuel Esc Rates'!Q217,"")))))</f>
        <v>3.3292231812577233E-2</v>
      </c>
      <c r="R439" s="47">
        <f>IF('General Data'!$H$21=1,'DOE Fuel Esc Rates'!R69,IF('General Data'!$H$21=2,'DOE Fuel Esc Rates'!R106,IF('General Data'!$H$21=3,'DOE Fuel Esc Rates'!R143,IF('General Data'!$H$21=4,'DOE Fuel Esc Rates'!R180,IF('General Data'!$H$21=5,'DOE Fuel Esc Rates'!R217,"")))))</f>
        <v>8.6956521739129933E-3</v>
      </c>
      <c r="S439" s="44"/>
      <c r="T439" s="45">
        <f t="shared" si="13"/>
        <v>24</v>
      </c>
    </row>
    <row r="440" spans="1:20" x14ac:dyDescent="0.2">
      <c r="A440" s="45">
        <f>IF('General Data'!$H$21=1,'DOE Fuel Esc Rates'!A70,IF('General Data'!$H$21=2,'DOE Fuel Esc Rates'!A107,IF('General Data'!$H$21=3,'DOE Fuel Esc Rates'!A144,IF('General Data'!$H$21=4,'DOE Fuel Esc Rates'!A181,IF('General Data'!$H$21=5,'DOE Fuel Esc Rates'!A218,"")))))</f>
        <v>25</v>
      </c>
      <c r="B440" s="44"/>
      <c r="C440" s="47">
        <f>IF('General Data'!$H$21=1,'DOE Fuel Esc Rates'!C70,IF('General Data'!$H$21=2,'DOE Fuel Esc Rates'!C107,IF('General Data'!$H$21=3,'DOE Fuel Esc Rates'!C144,IF('General Data'!$H$21=4,'DOE Fuel Esc Rates'!C181,IF('General Data'!$H$21=5,'DOE Fuel Esc Rates'!C218,"")))))</f>
        <v>4.583651642475095E-3</v>
      </c>
      <c r="D440" s="47">
        <f>IF('General Data'!$H$21=1,'DOE Fuel Esc Rates'!D70,IF('General Data'!$H$21=2,'DOE Fuel Esc Rates'!D107,IF('General Data'!$H$21=3,'DOE Fuel Esc Rates'!D144,IF('General Data'!$H$21=4,'DOE Fuel Esc Rates'!D181,IF('General Data'!$H$21=5,'DOE Fuel Esc Rates'!D218,"")))))</f>
        <v>2.2180568572321091E-2</v>
      </c>
      <c r="E440" s="47">
        <f>IF('General Data'!$H$21=1,'DOE Fuel Esc Rates'!E70,IF('General Data'!$H$21=2,'DOE Fuel Esc Rates'!E107,IF('General Data'!$H$21=3,'DOE Fuel Esc Rates'!E144,IF('General Data'!$H$21=4,'DOE Fuel Esc Rates'!E181,IF('General Data'!$H$21=5,'DOE Fuel Esc Rates'!E218,"")))))</f>
        <v>2.2664835164835084E-2</v>
      </c>
      <c r="F440" s="47">
        <f>IF('General Data'!$H$21=1,'DOE Fuel Esc Rates'!F70,IF('General Data'!$H$21=2,'DOE Fuel Esc Rates'!F107,IF('General Data'!$H$21=3,'DOE Fuel Esc Rates'!F144,IF('General Data'!$H$21=4,'DOE Fuel Esc Rates'!F181,IF('General Data'!$H$21=5,'DOE Fuel Esc Rates'!F218,"")))))</f>
        <v>1.0378057820607856E-2</v>
      </c>
      <c r="G440" s="44"/>
      <c r="H440" s="47">
        <f>IF('General Data'!$H$21=1,'DOE Fuel Esc Rates'!H70,IF('General Data'!$H$21=2,'DOE Fuel Esc Rates'!H107,IF('General Data'!$H$21=3,'DOE Fuel Esc Rates'!H144,IF('General Data'!$H$21=4,'DOE Fuel Esc Rates'!H181,IF('General Data'!$H$21=5,'DOE Fuel Esc Rates'!H218,"")))))</f>
        <v>5.1624658366231646E-3</v>
      </c>
      <c r="I440" s="47">
        <f>IF('General Data'!$H$21=1,'DOE Fuel Esc Rates'!I70,IF('General Data'!$H$21=2,'DOE Fuel Esc Rates'!I107,IF('General Data'!$H$21=3,'DOE Fuel Esc Rates'!I144,IF('General Data'!$H$21=4,'DOE Fuel Esc Rates'!I181,IF('General Data'!$H$21=5,'DOE Fuel Esc Rates'!I218,"")))))</f>
        <v>2.2042843837317694E-2</v>
      </c>
      <c r="J440" s="47">
        <f>IF('General Data'!$H$21=1,'DOE Fuel Esc Rates'!J70,IF('General Data'!$H$21=2,'DOE Fuel Esc Rates'!J107,IF('General Data'!$H$21=3,'DOE Fuel Esc Rates'!J144,IF('General Data'!$H$21=4,'DOE Fuel Esc Rates'!J181,IF('General Data'!$H$21=5,'DOE Fuel Esc Rates'!J218,"")))))</f>
        <v>5.4760730143068592E-2</v>
      </c>
      <c r="K440" s="47">
        <f>IF('General Data'!$H$21=1,'DOE Fuel Esc Rates'!K70,IF('General Data'!$H$21=2,'DOE Fuel Esc Rates'!K107,IF('General Data'!$H$21=3,'DOE Fuel Esc Rates'!K144,IF('General Data'!$H$21=4,'DOE Fuel Esc Rates'!K181,IF('General Data'!$H$21=5,'DOE Fuel Esc Rates'!K218,"")))))</f>
        <v>2.4603174603174738E-2</v>
      </c>
      <c r="L440" s="47">
        <f>IF('General Data'!$H$21=1,'DOE Fuel Esc Rates'!L70,IF('General Data'!$H$21=2,'DOE Fuel Esc Rates'!L107,IF('General Data'!$H$21=3,'DOE Fuel Esc Rates'!L144,IF('General Data'!$H$21=4,'DOE Fuel Esc Rates'!L181,IF('General Data'!$H$21=5,'DOE Fuel Esc Rates'!L218,"")))))</f>
        <v>9.7276264591441564E-3</v>
      </c>
      <c r="M440" s="44"/>
      <c r="N440" s="47">
        <f>IF('General Data'!$H$21=1,'DOE Fuel Esc Rates'!N70,IF('General Data'!$H$21=2,'DOE Fuel Esc Rates'!N107,IF('General Data'!$H$21=3,'DOE Fuel Esc Rates'!N144,IF('General Data'!$H$21=4,'DOE Fuel Esc Rates'!N181,IF('General Data'!$H$21=5,'DOE Fuel Esc Rates'!N218,"")))))</f>
        <v>7.1974808816914759E-3</v>
      </c>
      <c r="O440" s="47">
        <f>IF('General Data'!$H$21=1,'DOE Fuel Esc Rates'!O70,IF('General Data'!$H$21=2,'DOE Fuel Esc Rates'!O107,IF('General Data'!$H$21=3,'DOE Fuel Esc Rates'!O144,IF('General Data'!$H$21=4,'DOE Fuel Esc Rates'!O181,IF('General Data'!$H$21=5,'DOE Fuel Esc Rates'!O218,"")))))</f>
        <v>2.2857142857142909E-2</v>
      </c>
      <c r="P440" s="47">
        <f>IF('General Data'!$H$21=1,'DOE Fuel Esc Rates'!P70,IF('General Data'!$H$21=2,'DOE Fuel Esc Rates'!P107,IF('General Data'!$H$21=3,'DOE Fuel Esc Rates'!P144,IF('General Data'!$H$21=4,'DOE Fuel Esc Rates'!P181,IF('General Data'!$H$21=5,'DOE Fuel Esc Rates'!P218,"")))))</f>
        <v>5.4455445544554504E-2</v>
      </c>
      <c r="Q440" s="47">
        <f>IF('General Data'!$H$21=1,'DOE Fuel Esc Rates'!Q70,IF('General Data'!$H$21=2,'DOE Fuel Esc Rates'!Q107,IF('General Data'!$H$21=3,'DOE Fuel Esc Rates'!Q144,IF('General Data'!$H$21=4,'DOE Fuel Esc Rates'!Q181,IF('General Data'!$H$21=5,'DOE Fuel Esc Rates'!Q218,"")))))</f>
        <v>3.1026252983293423E-2</v>
      </c>
      <c r="R440" s="47">
        <f>IF('General Data'!$H$21=1,'DOE Fuel Esc Rates'!R70,IF('General Data'!$H$21=2,'DOE Fuel Esc Rates'!R107,IF('General Data'!$H$21=3,'DOE Fuel Esc Rates'!R144,IF('General Data'!$H$21=4,'DOE Fuel Esc Rates'!R181,IF('General Data'!$H$21=5,'DOE Fuel Esc Rates'!R218,"")))))</f>
        <v>5.7471264367816577E-3</v>
      </c>
      <c r="S440" s="44"/>
      <c r="T440" s="45">
        <f t="shared" si="13"/>
        <v>25</v>
      </c>
    </row>
    <row r="441" spans="1:20" x14ac:dyDescent="0.2">
      <c r="A441" s="45">
        <f>IF('General Data'!$H$21=1,'DOE Fuel Esc Rates'!A71,IF('General Data'!$H$21=2,'DOE Fuel Esc Rates'!A108,IF('General Data'!$H$21=3,'DOE Fuel Esc Rates'!A145,IF('General Data'!$H$21=4,'DOE Fuel Esc Rates'!A182,IF('General Data'!$H$21=5,'DOE Fuel Esc Rates'!A219,"")))))</f>
        <v>26</v>
      </c>
      <c r="B441" s="44"/>
      <c r="C441" s="47">
        <f>IF('General Data'!$H$21=1,'DOE Fuel Esc Rates'!C71,IF('General Data'!$H$21=2,'DOE Fuel Esc Rates'!C108,IF('General Data'!$H$21=3,'DOE Fuel Esc Rates'!C145,IF('General Data'!$H$21=4,'DOE Fuel Esc Rates'!C182,IF('General Data'!$H$21=5,'DOE Fuel Esc Rates'!C219,"")))))</f>
        <v>3.8022813688212143E-3</v>
      </c>
      <c r="D441" s="47">
        <f>IF('General Data'!$H$21=1,'DOE Fuel Esc Rates'!D71,IF('General Data'!$H$21=2,'DOE Fuel Esc Rates'!D108,IF('General Data'!$H$21=3,'DOE Fuel Esc Rates'!D145,IF('General Data'!$H$21=4,'DOE Fuel Esc Rates'!D182,IF('General Data'!$H$21=5,'DOE Fuel Esc Rates'!D219,"")))))</f>
        <v>2.1393643031784926E-2</v>
      </c>
      <c r="E441" s="47">
        <f>IF('General Data'!$H$21=1,'DOE Fuel Esc Rates'!E71,IF('General Data'!$H$21=2,'DOE Fuel Esc Rates'!E108,IF('General Data'!$H$21=3,'DOE Fuel Esc Rates'!E145,IF('General Data'!$H$21=4,'DOE Fuel Esc Rates'!E182,IF('General Data'!$H$21=5,'DOE Fuel Esc Rates'!E219,"")))))</f>
        <v>1.2760241773001946E-2</v>
      </c>
      <c r="F441" s="47">
        <f>IF('General Data'!$H$21=1,'DOE Fuel Esc Rates'!F71,IF('General Data'!$H$21=2,'DOE Fuel Esc Rates'!F108,IF('General Data'!$H$21=3,'DOE Fuel Esc Rates'!F145,IF('General Data'!$H$21=4,'DOE Fuel Esc Rates'!F182,IF('General Data'!$H$21=5,'DOE Fuel Esc Rates'!F219,"")))))</f>
        <v>7.7035950110049267E-3</v>
      </c>
      <c r="G441" s="44"/>
      <c r="H441" s="47">
        <f>IF('General Data'!$H$21=1,'DOE Fuel Esc Rates'!H71,IF('General Data'!$H$21=2,'DOE Fuel Esc Rates'!H108,IF('General Data'!$H$21=3,'DOE Fuel Esc Rates'!H145,IF('General Data'!$H$21=4,'DOE Fuel Esc Rates'!H182,IF('General Data'!$H$21=5,'DOE Fuel Esc Rates'!H219,"")))))</f>
        <v>2.4169184290030454E-3</v>
      </c>
      <c r="I441" s="47">
        <f>IF('General Data'!$H$21=1,'DOE Fuel Esc Rates'!I71,IF('General Data'!$H$21=2,'DOE Fuel Esc Rates'!I108,IF('General Data'!$H$21=3,'DOE Fuel Esc Rates'!I145,IF('General Data'!$H$21=4,'DOE Fuel Esc Rates'!I182,IF('General Data'!$H$21=5,'DOE Fuel Esc Rates'!I219,"")))))</f>
        <v>2.1263669501822458E-2</v>
      </c>
      <c r="J441" s="47">
        <f>IF('General Data'!$H$21=1,'DOE Fuel Esc Rates'!J71,IF('General Data'!$H$21=2,'DOE Fuel Esc Rates'!J108,IF('General Data'!$H$21=3,'DOE Fuel Esc Rates'!J145,IF('General Data'!$H$21=4,'DOE Fuel Esc Rates'!J182,IF('General Data'!$H$21=5,'DOE Fuel Esc Rates'!J219,"")))))</f>
        <v>3.7885874649205009E-2</v>
      </c>
      <c r="K441" s="47">
        <f>IF('General Data'!$H$21=1,'DOE Fuel Esc Rates'!K71,IF('General Data'!$H$21=2,'DOE Fuel Esc Rates'!K108,IF('General Data'!$H$21=3,'DOE Fuel Esc Rates'!K145,IF('General Data'!$H$21=4,'DOE Fuel Esc Rates'!K182,IF('General Data'!$H$21=5,'DOE Fuel Esc Rates'!K219,"")))))</f>
        <v>1.3942680092951187E-2</v>
      </c>
      <c r="L441" s="47">
        <f>IF('General Data'!$H$21=1,'DOE Fuel Esc Rates'!L71,IF('General Data'!$H$21=2,'DOE Fuel Esc Rates'!L108,IF('General Data'!$H$21=3,'DOE Fuel Esc Rates'!L145,IF('General Data'!$H$21=4,'DOE Fuel Esc Rates'!L182,IF('General Data'!$H$21=5,'DOE Fuel Esc Rates'!L219,"")))))</f>
        <v>5.7803468208090791E-3</v>
      </c>
      <c r="M441" s="44"/>
      <c r="N441" s="47">
        <f>IF('General Data'!$H$21=1,'DOE Fuel Esc Rates'!N71,IF('General Data'!$H$21=2,'DOE Fuel Esc Rates'!N108,IF('General Data'!$H$21=3,'DOE Fuel Esc Rates'!N145,IF('General Data'!$H$21=4,'DOE Fuel Esc Rates'!N182,IF('General Data'!$H$21=5,'DOE Fuel Esc Rates'!N219,"")))))</f>
        <v>5.3595355069226969E-3</v>
      </c>
      <c r="O441" s="47">
        <f>IF('General Data'!$H$21=1,'DOE Fuel Esc Rates'!O71,IF('General Data'!$H$21=2,'DOE Fuel Esc Rates'!O108,IF('General Data'!$H$21=3,'DOE Fuel Esc Rates'!O145,IF('General Data'!$H$21=4,'DOE Fuel Esc Rates'!O182,IF('General Data'!$H$21=5,'DOE Fuel Esc Rates'!O219,"")))))</f>
        <v>2.1725636250776059E-2</v>
      </c>
      <c r="P441" s="47">
        <f>IF('General Data'!$H$21=1,'DOE Fuel Esc Rates'!P71,IF('General Data'!$H$21=2,'DOE Fuel Esc Rates'!P108,IF('General Data'!$H$21=3,'DOE Fuel Esc Rates'!P145,IF('General Data'!$H$21=4,'DOE Fuel Esc Rates'!P182,IF('General Data'!$H$21=5,'DOE Fuel Esc Rates'!P219,"")))))</f>
        <v>3.8497652582159647E-2</v>
      </c>
      <c r="Q441" s="47">
        <f>IF('General Data'!$H$21=1,'DOE Fuel Esc Rates'!Q71,IF('General Data'!$H$21=2,'DOE Fuel Esc Rates'!Q108,IF('General Data'!$H$21=3,'DOE Fuel Esc Rates'!Q145,IF('General Data'!$H$21=4,'DOE Fuel Esc Rates'!Q182,IF('General Data'!$H$21=5,'DOE Fuel Esc Rates'!Q219,"")))))</f>
        <v>2.0833333333333259E-2</v>
      </c>
      <c r="R441" s="47">
        <f>IF('General Data'!$H$21=1,'DOE Fuel Esc Rates'!R71,IF('General Data'!$H$21=2,'DOE Fuel Esc Rates'!R108,IF('General Data'!$H$21=3,'DOE Fuel Esc Rates'!R145,IF('General Data'!$H$21=4,'DOE Fuel Esc Rates'!R182,IF('General Data'!$H$21=5,'DOE Fuel Esc Rates'!R219,"")))))</f>
        <v>8.5714285714284522E-3</v>
      </c>
      <c r="S441" s="44"/>
      <c r="T441" s="45">
        <f t="shared" si="13"/>
        <v>26</v>
      </c>
    </row>
    <row r="442" spans="1:20" x14ac:dyDescent="0.2">
      <c r="A442" s="45">
        <f>IF('General Data'!$H$21=1,'DOE Fuel Esc Rates'!A72,IF('General Data'!$H$21=2,'DOE Fuel Esc Rates'!A109,IF('General Data'!$H$21=3,'DOE Fuel Esc Rates'!A146,IF('General Data'!$H$21=4,'DOE Fuel Esc Rates'!A183,IF('General Data'!$H$21=5,'DOE Fuel Esc Rates'!A220,"")))))</f>
        <v>27</v>
      </c>
      <c r="B442" s="44"/>
      <c r="C442" s="47">
        <f>IF('General Data'!$H$21=1,'DOE Fuel Esc Rates'!C72,IF('General Data'!$H$21=2,'DOE Fuel Esc Rates'!C109,IF('General Data'!$H$21=3,'DOE Fuel Esc Rates'!C146,IF('General Data'!$H$21=4,'DOE Fuel Esc Rates'!C183,IF('General Data'!$H$21=5,'DOE Fuel Esc Rates'!C220,"")))))</f>
        <v>3.5353535353535026E-3</v>
      </c>
      <c r="D442" s="47">
        <f>IF('General Data'!$H$21=1,'DOE Fuel Esc Rates'!D72,IF('General Data'!$H$21=2,'DOE Fuel Esc Rates'!D109,IF('General Data'!$H$21=3,'DOE Fuel Esc Rates'!D146,IF('General Data'!$H$21=4,'DOE Fuel Esc Rates'!D183,IF('General Data'!$H$21=5,'DOE Fuel Esc Rates'!D220,"")))))</f>
        <v>2.0945541591861128E-2</v>
      </c>
      <c r="E442" s="47">
        <f>IF('General Data'!$H$21=1,'DOE Fuel Esc Rates'!E72,IF('General Data'!$H$21=2,'DOE Fuel Esc Rates'!E109,IF('General Data'!$H$21=3,'DOE Fuel Esc Rates'!E146,IF('General Data'!$H$21=4,'DOE Fuel Esc Rates'!E183,IF('General Data'!$H$21=5,'DOE Fuel Esc Rates'!E220,"")))))</f>
        <v>1.0610079575596787E-2</v>
      </c>
      <c r="F442" s="47">
        <f>IF('General Data'!$H$21=1,'DOE Fuel Esc Rates'!F72,IF('General Data'!$H$21=2,'DOE Fuel Esc Rates'!F109,IF('General Data'!$H$21=3,'DOE Fuel Esc Rates'!F146,IF('General Data'!$H$21=4,'DOE Fuel Esc Rates'!F183,IF('General Data'!$H$21=5,'DOE Fuel Esc Rates'!F220,"")))))</f>
        <v>6.9166363305424028E-3</v>
      </c>
      <c r="G442" s="44"/>
      <c r="H442" s="47">
        <f>IF('General Data'!$H$21=1,'DOE Fuel Esc Rates'!H72,IF('General Data'!$H$21=2,'DOE Fuel Esc Rates'!H109,IF('General Data'!$H$21=3,'DOE Fuel Esc Rates'!H146,IF('General Data'!$H$21=4,'DOE Fuel Esc Rates'!H183,IF('General Data'!$H$21=5,'DOE Fuel Esc Rates'!H220,"")))))</f>
        <v>1.5069318866787196E-3</v>
      </c>
      <c r="I442" s="47">
        <f>IF('General Data'!$H$21=1,'DOE Fuel Esc Rates'!I72,IF('General Data'!$H$21=2,'DOE Fuel Esc Rates'!I109,IF('General Data'!$H$21=3,'DOE Fuel Esc Rates'!I146,IF('General Data'!$H$21=4,'DOE Fuel Esc Rates'!I183,IF('General Data'!$H$21=5,'DOE Fuel Esc Rates'!I220,"")))))</f>
        <v>2.0820939916716297E-2</v>
      </c>
      <c r="J442" s="47">
        <f>IF('General Data'!$H$21=1,'DOE Fuel Esc Rates'!J72,IF('General Data'!$H$21=2,'DOE Fuel Esc Rates'!J109,IF('General Data'!$H$21=3,'DOE Fuel Esc Rates'!J146,IF('General Data'!$H$21=4,'DOE Fuel Esc Rates'!J183,IF('General Data'!$H$21=5,'DOE Fuel Esc Rates'!J220,"")))))</f>
        <v>3.1545741324921162E-2</v>
      </c>
      <c r="K442" s="47">
        <f>IF('General Data'!$H$21=1,'DOE Fuel Esc Rates'!K72,IF('General Data'!$H$21=2,'DOE Fuel Esc Rates'!K109,IF('General Data'!$H$21=3,'DOE Fuel Esc Rates'!K146,IF('General Data'!$H$21=4,'DOE Fuel Esc Rates'!K183,IF('General Data'!$H$21=5,'DOE Fuel Esc Rates'!K220,"")))))</f>
        <v>1.2223071046600475E-2</v>
      </c>
      <c r="L442" s="47">
        <f>IF('General Data'!$H$21=1,'DOE Fuel Esc Rates'!L72,IF('General Data'!$H$21=2,'DOE Fuel Esc Rates'!L109,IF('General Data'!$H$21=3,'DOE Fuel Esc Rates'!L146,IF('General Data'!$H$21=4,'DOE Fuel Esc Rates'!L183,IF('General Data'!$H$21=5,'DOE Fuel Esc Rates'!L220,"")))))</f>
        <v>5.7471264367816577E-3</v>
      </c>
      <c r="M442" s="44"/>
      <c r="N442" s="47">
        <f>IF('General Data'!$H$21=1,'DOE Fuel Esc Rates'!N72,IF('General Data'!$H$21=2,'DOE Fuel Esc Rates'!N109,IF('General Data'!$H$21=3,'DOE Fuel Esc Rates'!N146,IF('General Data'!$H$21=4,'DOE Fuel Esc Rates'!N183,IF('General Data'!$H$21=5,'DOE Fuel Esc Rates'!N220,"")))))</f>
        <v>4.8867170146600358E-3</v>
      </c>
      <c r="O442" s="47">
        <f>IF('General Data'!$H$21=1,'DOE Fuel Esc Rates'!O72,IF('General Data'!$H$21=2,'DOE Fuel Esc Rates'!O109,IF('General Data'!$H$21=3,'DOE Fuel Esc Rates'!O146,IF('General Data'!$H$21=4,'DOE Fuel Esc Rates'!O183,IF('General Data'!$H$21=5,'DOE Fuel Esc Rates'!O220,"")))))</f>
        <v>2.1263669501822458E-2</v>
      </c>
      <c r="P442" s="47">
        <f>IF('General Data'!$H$21=1,'DOE Fuel Esc Rates'!P72,IF('General Data'!$H$21=2,'DOE Fuel Esc Rates'!P109,IF('General Data'!$H$21=3,'DOE Fuel Esc Rates'!P146,IF('General Data'!$H$21=4,'DOE Fuel Esc Rates'!P183,IF('General Data'!$H$21=5,'DOE Fuel Esc Rates'!P220,"")))))</f>
        <v>3.1645569620253111E-2</v>
      </c>
      <c r="Q442" s="47">
        <f>IF('General Data'!$H$21=1,'DOE Fuel Esc Rates'!Q72,IF('General Data'!$H$21=2,'DOE Fuel Esc Rates'!Q109,IF('General Data'!$H$21=3,'DOE Fuel Esc Rates'!Q146,IF('General Data'!$H$21=4,'DOE Fuel Esc Rates'!Q183,IF('General Data'!$H$21=5,'DOE Fuel Esc Rates'!Q220,"")))))</f>
        <v>1.7006802721088565E-2</v>
      </c>
      <c r="R442" s="47">
        <f>IF('General Data'!$H$21=1,'DOE Fuel Esc Rates'!R72,IF('General Data'!$H$21=2,'DOE Fuel Esc Rates'!R109,IF('General Data'!$H$21=3,'DOE Fuel Esc Rates'!R146,IF('General Data'!$H$21=4,'DOE Fuel Esc Rates'!R183,IF('General Data'!$H$21=5,'DOE Fuel Esc Rates'!R220,"")))))</f>
        <v>1.1331444759206777E-2</v>
      </c>
      <c r="S442" s="44"/>
      <c r="T442" s="45">
        <f t="shared" si="13"/>
        <v>27</v>
      </c>
    </row>
    <row r="443" spans="1:20" x14ac:dyDescent="0.2">
      <c r="A443" s="45">
        <f>IF('General Data'!$H$21=1,'DOE Fuel Esc Rates'!A73,IF('General Data'!$H$21=2,'DOE Fuel Esc Rates'!A110,IF('General Data'!$H$21=3,'DOE Fuel Esc Rates'!A147,IF('General Data'!$H$21=4,'DOE Fuel Esc Rates'!A184,IF('General Data'!$H$21=5,'DOE Fuel Esc Rates'!A221,"")))))</f>
        <v>28</v>
      </c>
      <c r="B443" s="44"/>
      <c r="C443" s="47">
        <f>IF('General Data'!$H$21=1,'DOE Fuel Esc Rates'!C73,IF('General Data'!$H$21=2,'DOE Fuel Esc Rates'!C110,IF('General Data'!$H$21=3,'DOE Fuel Esc Rates'!C147,IF('General Data'!$H$21=4,'DOE Fuel Esc Rates'!C184,IF('General Data'!$H$21=5,'DOE Fuel Esc Rates'!C221,"")))))</f>
        <v>3.5228988424760299E-3</v>
      </c>
      <c r="D443" s="47">
        <f>IF('General Data'!$H$21=1,'DOE Fuel Esc Rates'!D73,IF('General Data'!$H$21=2,'DOE Fuel Esc Rates'!D110,IF('General Data'!$H$21=3,'DOE Fuel Esc Rates'!D147,IF('General Data'!$H$21=4,'DOE Fuel Esc Rates'!D184,IF('General Data'!$H$21=5,'DOE Fuel Esc Rates'!D221,"")))))</f>
        <v>2.1395076201641494E-2</v>
      </c>
      <c r="E443" s="47">
        <f>IF('General Data'!$H$21=1,'DOE Fuel Esc Rates'!E73,IF('General Data'!$H$21=2,'DOE Fuel Esc Rates'!E110,IF('General Data'!$H$21=3,'DOE Fuel Esc Rates'!E147,IF('General Data'!$H$21=4,'DOE Fuel Esc Rates'!E184,IF('General Data'!$H$21=5,'DOE Fuel Esc Rates'!E221,"")))))</f>
        <v>9.8425196850393526E-3</v>
      </c>
      <c r="F443" s="47">
        <f>IF('General Data'!$H$21=1,'DOE Fuel Esc Rates'!F73,IF('General Data'!$H$21=2,'DOE Fuel Esc Rates'!F110,IF('General Data'!$H$21=3,'DOE Fuel Esc Rates'!F147,IF('General Data'!$H$21=4,'DOE Fuel Esc Rates'!F184,IF('General Data'!$H$21=5,'DOE Fuel Esc Rates'!F221,"")))))</f>
        <v>6.8691250903831769E-3</v>
      </c>
      <c r="G443" s="44"/>
      <c r="H443" s="47">
        <f>IF('General Data'!$H$21=1,'DOE Fuel Esc Rates'!H73,IF('General Data'!$H$21=2,'DOE Fuel Esc Rates'!H110,IF('General Data'!$H$21=3,'DOE Fuel Esc Rates'!H147,IF('General Data'!$H$21=4,'DOE Fuel Esc Rates'!H184,IF('General Data'!$H$21=5,'DOE Fuel Esc Rates'!H221,"")))))</f>
        <v>1.5046644598255554E-3</v>
      </c>
      <c r="I443" s="47">
        <f>IF('General Data'!$H$21=1,'DOE Fuel Esc Rates'!I73,IF('General Data'!$H$21=2,'DOE Fuel Esc Rates'!I110,IF('General Data'!$H$21=3,'DOE Fuel Esc Rates'!I147,IF('General Data'!$H$21=4,'DOE Fuel Esc Rates'!I184,IF('General Data'!$H$21=5,'DOE Fuel Esc Rates'!I221,"")))))</f>
        <v>2.1270396270396175E-2</v>
      </c>
      <c r="J443" s="47">
        <f>IF('General Data'!$H$21=1,'DOE Fuel Esc Rates'!J73,IF('General Data'!$H$21=2,'DOE Fuel Esc Rates'!J110,IF('General Data'!$H$21=3,'DOE Fuel Esc Rates'!J147,IF('General Data'!$H$21=4,'DOE Fuel Esc Rates'!J184,IF('General Data'!$H$21=5,'DOE Fuel Esc Rates'!J221,"")))))</f>
        <v>3.1891655744866743E-2</v>
      </c>
      <c r="K443" s="47">
        <f>IF('General Data'!$H$21=1,'DOE Fuel Esc Rates'!K73,IF('General Data'!$H$21=2,'DOE Fuel Esc Rates'!K110,IF('General Data'!$H$21=3,'DOE Fuel Esc Rates'!K147,IF('General Data'!$H$21=4,'DOE Fuel Esc Rates'!K184,IF('General Data'!$H$21=5,'DOE Fuel Esc Rates'!K221,"")))))</f>
        <v>1.2075471698113294E-2</v>
      </c>
      <c r="L443" s="47">
        <f>IF('General Data'!$H$21=1,'DOE Fuel Esc Rates'!L73,IF('General Data'!$H$21=2,'DOE Fuel Esc Rates'!L110,IF('General Data'!$H$21=3,'DOE Fuel Esc Rates'!L147,IF('General Data'!$H$21=4,'DOE Fuel Esc Rates'!L184,IF('General Data'!$H$21=5,'DOE Fuel Esc Rates'!L221,"")))))</f>
        <v>7.6190476190476364E-3</v>
      </c>
      <c r="M443" s="44"/>
      <c r="N443" s="47">
        <f>IF('General Data'!$H$21=1,'DOE Fuel Esc Rates'!N73,IF('General Data'!$H$21=2,'DOE Fuel Esc Rates'!N110,IF('General Data'!$H$21=3,'DOE Fuel Esc Rates'!N147,IF('General Data'!$H$21=4,'DOE Fuel Esc Rates'!N184,IF('General Data'!$H$21=5,'DOE Fuel Esc Rates'!N221,"")))))</f>
        <v>4.8629531388151293E-3</v>
      </c>
      <c r="O443" s="47">
        <f>IF('General Data'!$H$21=1,'DOE Fuel Esc Rates'!O73,IF('General Data'!$H$21=2,'DOE Fuel Esc Rates'!O110,IF('General Data'!$H$21=3,'DOE Fuel Esc Rates'!O147,IF('General Data'!$H$21=4,'DOE Fuel Esc Rates'!O184,IF('General Data'!$H$21=5,'DOE Fuel Esc Rates'!O221,"")))))</f>
        <v>2.1713265913147151E-2</v>
      </c>
      <c r="P443" s="47">
        <f>IF('General Data'!$H$21=1,'DOE Fuel Esc Rates'!P73,IF('General Data'!$H$21=2,'DOE Fuel Esc Rates'!P110,IF('General Data'!$H$21=3,'DOE Fuel Esc Rates'!P147,IF('General Data'!$H$21=4,'DOE Fuel Esc Rates'!P184,IF('General Data'!$H$21=5,'DOE Fuel Esc Rates'!P221,"")))))</f>
        <v>3.1989482909728251E-2</v>
      </c>
      <c r="Q443" s="47">
        <f>IF('General Data'!$H$21=1,'DOE Fuel Esc Rates'!Q73,IF('General Data'!$H$21=2,'DOE Fuel Esc Rates'!Q110,IF('General Data'!$H$21=3,'DOE Fuel Esc Rates'!Q147,IF('General Data'!$H$21=4,'DOE Fuel Esc Rates'!Q184,IF('General Data'!$H$21=5,'DOE Fuel Esc Rates'!Q221,"")))))</f>
        <v>1.7837235228539638E-2</v>
      </c>
      <c r="R443" s="47">
        <f>IF('General Data'!$H$21=1,'DOE Fuel Esc Rates'!R73,IF('General Data'!$H$21=2,'DOE Fuel Esc Rates'!R110,IF('General Data'!$H$21=3,'DOE Fuel Esc Rates'!R147,IF('General Data'!$H$21=4,'DOE Fuel Esc Rates'!R184,IF('General Data'!$H$21=5,'DOE Fuel Esc Rates'!R221,"")))))</f>
        <v>8.4033613445377853E-3</v>
      </c>
      <c r="S443" s="44"/>
      <c r="T443" s="45">
        <f t="shared" si="13"/>
        <v>28</v>
      </c>
    </row>
    <row r="444" spans="1:20" x14ac:dyDescent="0.2">
      <c r="A444" s="45">
        <f>IF('General Data'!$H$21=1,'DOE Fuel Esc Rates'!A74,IF('General Data'!$H$21=2,'DOE Fuel Esc Rates'!A111,IF('General Data'!$H$21=3,'DOE Fuel Esc Rates'!A148,IF('General Data'!$H$21=4,'DOE Fuel Esc Rates'!A185,IF('General Data'!$H$21=5,'DOE Fuel Esc Rates'!A222,"")))))</f>
        <v>29</v>
      </c>
      <c r="B444" s="44"/>
      <c r="C444" s="47">
        <f>IF('General Data'!$H$21=1,'DOE Fuel Esc Rates'!C74,IF('General Data'!$H$21=2,'DOE Fuel Esc Rates'!C111,IF('General Data'!$H$21=3,'DOE Fuel Esc Rates'!C148,IF('General Data'!$H$21=4,'DOE Fuel Esc Rates'!C185,IF('General Data'!$H$21=5,'DOE Fuel Esc Rates'!C222,"")))))</f>
        <v>3.5105315947843163E-3</v>
      </c>
      <c r="D444" s="47">
        <f>IF('General Data'!$H$21=1,'DOE Fuel Esc Rates'!D74,IF('General Data'!$H$21=2,'DOE Fuel Esc Rates'!D111,IF('General Data'!$H$21=3,'DOE Fuel Esc Rates'!D148,IF('General Data'!$H$21=4,'DOE Fuel Esc Rates'!D185,IF('General Data'!$H$21=5,'DOE Fuel Esc Rates'!D222,"")))))</f>
        <v>2.1233859397417509E-2</v>
      </c>
      <c r="E444" s="47">
        <f>IF('General Data'!$H$21=1,'DOE Fuel Esc Rates'!E74,IF('General Data'!$H$21=2,'DOE Fuel Esc Rates'!E111,IF('General Data'!$H$21=3,'DOE Fuel Esc Rates'!E148,IF('General Data'!$H$21=4,'DOE Fuel Esc Rates'!E185,IF('General Data'!$H$21=5,'DOE Fuel Esc Rates'!E222,"")))))</f>
        <v>1.1046133853151341E-2</v>
      </c>
      <c r="F444" s="47">
        <f>IF('General Data'!$H$21=1,'DOE Fuel Esc Rates'!F74,IF('General Data'!$H$21=2,'DOE Fuel Esc Rates'!F111,IF('General Data'!$H$21=3,'DOE Fuel Esc Rates'!F148,IF('General Data'!$H$21=4,'DOE Fuel Esc Rates'!F185,IF('General Data'!$H$21=5,'DOE Fuel Esc Rates'!F222,"")))))</f>
        <v>6.8222621184919063E-3</v>
      </c>
      <c r="G444" s="44"/>
      <c r="H444" s="47">
        <f>IF('General Data'!$H$21=1,'DOE Fuel Esc Rates'!H74,IF('General Data'!$H$21=2,'DOE Fuel Esc Rates'!H111,IF('General Data'!$H$21=3,'DOE Fuel Esc Rates'!H148,IF('General Data'!$H$21=4,'DOE Fuel Esc Rates'!H185,IF('General Data'!$H$21=5,'DOE Fuel Esc Rates'!H222,"")))))</f>
        <v>1.8028846153845812E-3</v>
      </c>
      <c r="I444" s="47">
        <f>IF('General Data'!$H$21=1,'DOE Fuel Esc Rates'!I74,IF('General Data'!$H$21=2,'DOE Fuel Esc Rates'!I111,IF('General Data'!$H$21=3,'DOE Fuel Esc Rates'!I148,IF('General Data'!$H$21=4,'DOE Fuel Esc Rates'!I185,IF('General Data'!$H$21=5,'DOE Fuel Esc Rates'!I222,"")))))</f>
        <v>2.1398002853067144E-2</v>
      </c>
      <c r="J444" s="47">
        <f>IF('General Data'!$H$21=1,'DOE Fuel Esc Rates'!J74,IF('General Data'!$H$21=2,'DOE Fuel Esc Rates'!J111,IF('General Data'!$H$21=3,'DOE Fuel Esc Rates'!J148,IF('General Data'!$H$21=4,'DOE Fuel Esc Rates'!J185,IF('General Data'!$H$21=5,'DOE Fuel Esc Rates'!J222,"")))))</f>
        <v>3.1752751905165022E-2</v>
      </c>
      <c r="K444" s="47">
        <f>IF('General Data'!$H$21=1,'DOE Fuel Esc Rates'!K74,IF('General Data'!$H$21=2,'DOE Fuel Esc Rates'!K111,IF('General Data'!$H$21=3,'DOE Fuel Esc Rates'!K148,IF('General Data'!$H$21=4,'DOE Fuel Esc Rates'!K185,IF('General Data'!$H$21=5,'DOE Fuel Esc Rates'!K222,"")))))</f>
        <v>1.1931394481730084E-2</v>
      </c>
      <c r="L444" s="47">
        <f>IF('General Data'!$H$21=1,'DOE Fuel Esc Rates'!L74,IF('General Data'!$H$21=2,'DOE Fuel Esc Rates'!L111,IF('General Data'!$H$21=3,'DOE Fuel Esc Rates'!L148,IF('General Data'!$H$21=4,'DOE Fuel Esc Rates'!L185,IF('General Data'!$H$21=5,'DOE Fuel Esc Rates'!L222,"")))))</f>
        <v>5.6710775047259521E-3</v>
      </c>
      <c r="M444" s="44"/>
      <c r="N444" s="47">
        <f>IF('General Data'!$H$21=1,'DOE Fuel Esc Rates'!N74,IF('General Data'!$H$21=2,'DOE Fuel Esc Rates'!N111,IF('General Data'!$H$21=3,'DOE Fuel Esc Rates'!N148,IF('General Data'!$H$21=4,'DOE Fuel Esc Rates'!N185,IF('General Data'!$H$21=5,'DOE Fuel Esc Rates'!N222,"")))))</f>
        <v>4.8394192696876726E-3</v>
      </c>
      <c r="O444" s="47">
        <f>IF('General Data'!$H$21=1,'DOE Fuel Esc Rates'!O74,IF('General Data'!$H$21=2,'DOE Fuel Esc Rates'!O111,IF('General Data'!$H$21=3,'DOE Fuel Esc Rates'!O148,IF('General Data'!$H$21=4,'DOE Fuel Esc Rates'!O185,IF('General Data'!$H$21=5,'DOE Fuel Esc Rates'!O222,"")))))</f>
        <v>2.1834061135371119E-2</v>
      </c>
      <c r="P444" s="47">
        <f>IF('General Data'!$H$21=1,'DOE Fuel Esc Rates'!P74,IF('General Data'!$H$21=2,'DOE Fuel Esc Rates'!P111,IF('General Data'!$H$21=3,'DOE Fuel Esc Rates'!P148,IF('General Data'!$H$21=4,'DOE Fuel Esc Rates'!P185,IF('General Data'!$H$21=5,'DOE Fuel Esc Rates'!P222,"")))))</f>
        <v>3.1422505307855619E-2</v>
      </c>
      <c r="Q444" s="47">
        <f>IF('General Data'!$H$21=1,'DOE Fuel Esc Rates'!Q74,IF('General Data'!$H$21=2,'DOE Fuel Esc Rates'!Q111,IF('General Data'!$H$21=3,'DOE Fuel Esc Rates'!Q148,IF('General Data'!$H$21=4,'DOE Fuel Esc Rates'!Q185,IF('General Data'!$H$21=5,'DOE Fuel Esc Rates'!Q222,"")))))</f>
        <v>1.7524644030668002E-2</v>
      </c>
      <c r="R444" s="47">
        <f>IF('General Data'!$H$21=1,'DOE Fuel Esc Rates'!R74,IF('General Data'!$H$21=2,'DOE Fuel Esc Rates'!R111,IF('General Data'!$H$21=3,'DOE Fuel Esc Rates'!R148,IF('General Data'!$H$21=4,'DOE Fuel Esc Rates'!R185,IF('General Data'!$H$21=5,'DOE Fuel Esc Rates'!R222,"")))))</f>
        <v>1.1111111111111072E-2</v>
      </c>
      <c r="S444" s="44"/>
      <c r="T444" s="45">
        <f t="shared" si="13"/>
        <v>29</v>
      </c>
    </row>
    <row r="445" spans="1:20" x14ac:dyDescent="0.2">
      <c r="A445" s="45">
        <f>IF('General Data'!$H$21=1,'DOE Fuel Esc Rates'!A75,IF('General Data'!$H$21=2,'DOE Fuel Esc Rates'!A112,IF('General Data'!$H$21=3,'DOE Fuel Esc Rates'!A149,IF('General Data'!$H$21=4,'DOE Fuel Esc Rates'!A186,IF('General Data'!$H$21=5,'DOE Fuel Esc Rates'!A223,"")))))</f>
        <v>30</v>
      </c>
      <c r="B445" s="44"/>
      <c r="C445" s="47">
        <f>IF('General Data'!$H$21=1,'DOE Fuel Esc Rates'!C75,IF('General Data'!$H$21=2,'DOE Fuel Esc Rates'!C112,IF('General Data'!$H$21=3,'DOE Fuel Esc Rates'!C149,IF('General Data'!$H$21=4,'DOE Fuel Esc Rates'!C186,IF('General Data'!$H$21=5,'DOE Fuel Esc Rates'!C223,"")))))</f>
        <v>3.4982508745624585E-3</v>
      </c>
      <c r="D445" s="47">
        <f>IF('General Data'!$H$21=1,'DOE Fuel Esc Rates'!D75,IF('General Data'!$H$21=2,'DOE Fuel Esc Rates'!D112,IF('General Data'!$H$21=3,'DOE Fuel Esc Rates'!D149,IF('General Data'!$H$21=4,'DOE Fuel Esc Rates'!D186,IF('General Data'!$H$21=5,'DOE Fuel Esc Rates'!D223,"")))))</f>
        <v>2.1635290812025643E-2</v>
      </c>
      <c r="E445" s="47">
        <f>IF('General Data'!$H$21=1,'DOE Fuel Esc Rates'!E75,IF('General Data'!$H$21=2,'DOE Fuel Esc Rates'!E112,IF('General Data'!$H$21=3,'DOE Fuel Esc Rates'!E149,IF('General Data'!$H$21=4,'DOE Fuel Esc Rates'!E186,IF('General Data'!$H$21=5,'DOE Fuel Esc Rates'!E223,"")))))</f>
        <v>1.0282776349614497E-2</v>
      </c>
      <c r="F445" s="47">
        <f>IF('General Data'!$H$21=1,'DOE Fuel Esc Rates'!F75,IF('General Data'!$H$21=2,'DOE Fuel Esc Rates'!F112,IF('General Data'!$H$21=3,'DOE Fuel Esc Rates'!F149,IF('General Data'!$H$21=4,'DOE Fuel Esc Rates'!F186,IF('General Data'!$H$21=5,'DOE Fuel Esc Rates'!F223,"")))))</f>
        <v>6.7760342368046178E-3</v>
      </c>
      <c r="G445" s="44"/>
      <c r="H445" s="47">
        <f>IF('General Data'!$H$21=1,'DOE Fuel Esc Rates'!H75,IF('General Data'!$H$21=2,'DOE Fuel Esc Rates'!H112,IF('General Data'!$H$21=3,'DOE Fuel Esc Rates'!H149,IF('General Data'!$H$21=4,'DOE Fuel Esc Rates'!H186,IF('General Data'!$H$21=5,'DOE Fuel Esc Rates'!H223,"")))))</f>
        <v>1.4997000599878962E-3</v>
      </c>
      <c r="I445" s="47">
        <f>IF('General Data'!$H$21=1,'DOE Fuel Esc Rates'!I75,IF('General Data'!$H$21=2,'DOE Fuel Esc Rates'!I112,IF('General Data'!$H$21=3,'DOE Fuel Esc Rates'!I149,IF('General Data'!$H$21=4,'DOE Fuel Esc Rates'!I186,IF('General Data'!$H$21=5,'DOE Fuel Esc Rates'!I223,"")))))</f>
        <v>2.1508379888268259E-2</v>
      </c>
      <c r="J445" s="47">
        <f>IF('General Data'!$H$21=1,'DOE Fuel Esc Rates'!J75,IF('General Data'!$H$21=2,'DOE Fuel Esc Rates'!J112,IF('General Data'!$H$21=3,'DOE Fuel Esc Rates'!J149,IF('General Data'!$H$21=4,'DOE Fuel Esc Rates'!J186,IF('General Data'!$H$21=5,'DOE Fuel Esc Rates'!J223,"")))))</f>
        <v>3.1596224866639266E-2</v>
      </c>
      <c r="K445" s="47">
        <f>IF('General Data'!$H$21=1,'DOE Fuel Esc Rates'!K75,IF('General Data'!$H$21=2,'DOE Fuel Esc Rates'!K112,IF('General Data'!$H$21=3,'DOE Fuel Esc Rates'!K149,IF('General Data'!$H$21=4,'DOE Fuel Esc Rates'!K186,IF('General Data'!$H$21=5,'DOE Fuel Esc Rates'!K223,"")))))</f>
        <v>1.179071481208549E-2</v>
      </c>
      <c r="L445" s="47">
        <f>IF('General Data'!$H$21=1,'DOE Fuel Esc Rates'!L75,IF('General Data'!$H$21=2,'DOE Fuel Esc Rates'!L112,IF('General Data'!$H$21=3,'DOE Fuel Esc Rates'!L149,IF('General Data'!$H$21=4,'DOE Fuel Esc Rates'!L186,IF('General Data'!$H$21=5,'DOE Fuel Esc Rates'!L223,"")))))</f>
        <v>7.5187969924812581E-3</v>
      </c>
      <c r="M445" s="44"/>
      <c r="N445" s="47">
        <f>IF('General Data'!$H$21=1,'DOE Fuel Esc Rates'!N75,IF('General Data'!$H$21=2,'DOE Fuel Esc Rates'!N112,IF('General Data'!$H$21=3,'DOE Fuel Esc Rates'!N149,IF('General Data'!$H$21=4,'DOE Fuel Esc Rates'!N186,IF('General Data'!$H$21=5,'DOE Fuel Esc Rates'!N223,"")))))</f>
        <v>5.2539404553415547E-3</v>
      </c>
      <c r="O445" s="47">
        <f>IF('General Data'!$H$21=1,'DOE Fuel Esc Rates'!O75,IF('General Data'!$H$21=2,'DOE Fuel Esc Rates'!O112,IF('General Data'!$H$21=3,'DOE Fuel Esc Rates'!O149,IF('General Data'!$H$21=4,'DOE Fuel Esc Rates'!O186,IF('General Data'!$H$21=5,'DOE Fuel Esc Rates'!O223,"")))))</f>
        <v>2.1937321937321785E-2</v>
      </c>
      <c r="P445" s="47">
        <f>IF('General Data'!$H$21=1,'DOE Fuel Esc Rates'!P75,IF('General Data'!$H$21=2,'DOE Fuel Esc Rates'!P112,IF('General Data'!$H$21=3,'DOE Fuel Esc Rates'!P149,IF('General Data'!$H$21=4,'DOE Fuel Esc Rates'!P186,IF('General Data'!$H$21=5,'DOE Fuel Esc Rates'!P223,"")))))</f>
        <v>3.170028818443793E-2</v>
      </c>
      <c r="Q445" s="47">
        <f>IF('General Data'!$H$21=1,'DOE Fuel Esc Rates'!Q75,IF('General Data'!$H$21=2,'DOE Fuel Esc Rates'!Q112,IF('General Data'!$H$21=3,'DOE Fuel Esc Rates'!Q149,IF('General Data'!$H$21=4,'DOE Fuel Esc Rates'!Q186,IF('General Data'!$H$21=5,'DOE Fuel Esc Rates'!Q223,"")))))</f>
        <v>1.7222820236813874E-2</v>
      </c>
      <c r="R445" s="47">
        <f>IF('General Data'!$H$21=1,'DOE Fuel Esc Rates'!R75,IF('General Data'!$H$21=2,'DOE Fuel Esc Rates'!R112,IF('General Data'!$H$21=3,'DOE Fuel Esc Rates'!R149,IF('General Data'!$H$21=4,'DOE Fuel Esc Rates'!R186,IF('General Data'!$H$21=5,'DOE Fuel Esc Rates'!R223,"")))))</f>
        <v>8.2417582417582125E-3</v>
      </c>
      <c r="S445" s="44"/>
      <c r="T445" s="45">
        <f t="shared" si="13"/>
        <v>30</v>
      </c>
    </row>
  </sheetData>
  <phoneticPr fontId="0" type="noConversion"/>
  <conditionalFormatting sqref="A9:A38 C9:F38 H9:L38 N9:R38 AA8:AB38 T9:W38">
    <cfRule type="expression" dxfId="1" priority="1" stopIfTrue="1">
      <formula>IF($A8&lt;1,TRUE,FALSE)</formula>
    </cfRule>
    <cfRule type="expression" dxfId="0" priority="2" stopIfTrue="1">
      <formula>IF($A8&gt;25,TRUE,FALSE)</formula>
    </cfRule>
  </conditionalFormatting>
  <printOptions horizontalCentered="1"/>
  <pageMargins left="0.25" right="0.25" top="0.75" bottom="0.5" header="0.5" footer="0.5"/>
  <pageSetup orientation="landscape" horizontalDpi="4294967292" verticalDpi="300" r:id="rId1"/>
  <headerFooter alignWithMargins="0"/>
  <rowBreaks count="9" manualBreakCount="9">
    <brk id="76" max="65535" man="1"/>
    <brk id="113" max="65535" man="1"/>
    <brk id="150" max="65535" man="1"/>
    <brk id="187" max="65535" man="1"/>
    <brk id="224" max="65535" man="1"/>
    <brk id="261" max="65535" man="1"/>
    <brk id="298" max="65535" man="1"/>
    <brk id="335" max="65535" man="1"/>
    <brk id="372" max="65535" man="1"/>
  </row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O49"/>
  <sheetViews>
    <sheetView showGridLines="0" zoomScale="80" workbookViewId="0"/>
  </sheetViews>
  <sheetFormatPr defaultRowHeight="12.75" x14ac:dyDescent="0.2"/>
  <cols>
    <col min="1" max="1" width="10.5703125" style="1" customWidth="1"/>
    <col min="2" max="12" width="7" style="1" customWidth="1"/>
    <col min="13" max="13" width="3.140625" style="1" customWidth="1"/>
    <col min="14" max="20" width="10.140625" customWidth="1"/>
  </cols>
  <sheetData>
    <row r="1" spans="1:14" ht="21" x14ac:dyDescent="0.4">
      <c r="A1" s="17" t="s">
        <v>131</v>
      </c>
      <c r="B1" s="4"/>
      <c r="C1" s="7"/>
      <c r="D1" s="7"/>
      <c r="E1" s="7"/>
      <c r="F1" s="7"/>
      <c r="G1" s="7"/>
      <c r="H1" s="7"/>
      <c r="I1" s="7"/>
      <c r="J1" s="7"/>
      <c r="K1" s="7"/>
      <c r="L1" s="7"/>
    </row>
    <row r="2" spans="1:14" ht="18.75" x14ac:dyDescent="0.3">
      <c r="A2" s="18" t="s">
        <v>132</v>
      </c>
      <c r="B2" s="4"/>
      <c r="C2" s="7"/>
      <c r="D2" s="7"/>
      <c r="E2" s="7"/>
      <c r="F2" s="7"/>
      <c r="G2" s="7"/>
      <c r="H2" s="7"/>
      <c r="I2" s="7"/>
      <c r="J2" s="7"/>
      <c r="K2" s="7"/>
      <c r="L2" s="7"/>
    </row>
    <row r="3" spans="1:14" ht="18.75" x14ac:dyDescent="0.3">
      <c r="A3" s="18" t="s">
        <v>133</v>
      </c>
      <c r="B3" s="4"/>
      <c r="C3" s="7"/>
      <c r="D3" s="7"/>
      <c r="E3" s="7"/>
      <c r="F3" s="7"/>
      <c r="G3" s="7"/>
      <c r="H3" s="7"/>
      <c r="I3" s="7"/>
      <c r="J3" s="7"/>
      <c r="K3" s="7"/>
      <c r="L3" s="7"/>
    </row>
    <row r="4" spans="1:14" ht="18.75" x14ac:dyDescent="0.3">
      <c r="A4" s="24"/>
      <c r="B4" s="12"/>
      <c r="C4" s="13"/>
      <c r="D4" s="13"/>
      <c r="E4" s="7"/>
      <c r="F4" s="7"/>
      <c r="G4"/>
      <c r="H4" s="28" t="str">
        <f>"DOE discount rate ("&amp;'General Data'!$H$10&amp;" data) ="</f>
        <v>DOE discount rate (2015 data) =</v>
      </c>
      <c r="I4" s="40">
        <f>'General Data'!M10</f>
        <v>0.03</v>
      </c>
      <c r="J4" s="13"/>
      <c r="K4" s="13"/>
      <c r="L4" s="13"/>
    </row>
    <row r="5" spans="1:14" x14ac:dyDescent="0.2">
      <c r="A5" s="1" t="s">
        <v>83</v>
      </c>
      <c r="C5" s="4"/>
      <c r="D5" s="4"/>
      <c r="E5" s="4"/>
      <c r="F5" s="4"/>
      <c r="G5" s="4"/>
      <c r="H5" s="4"/>
      <c r="I5" s="4"/>
      <c r="J5" s="4"/>
      <c r="K5" s="4"/>
      <c r="L5" s="4"/>
      <c r="N5" t="s">
        <v>85</v>
      </c>
    </row>
    <row r="6" spans="1:14" x14ac:dyDescent="0.2">
      <c r="A6" s="1" t="s">
        <v>86</v>
      </c>
      <c r="B6" s="4" t="s">
        <v>134</v>
      </c>
      <c r="C6" s="4"/>
      <c r="D6" s="4"/>
      <c r="E6" s="4"/>
      <c r="F6" s="4"/>
      <c r="G6" s="4"/>
      <c r="H6" s="4"/>
      <c r="I6" s="4"/>
      <c r="J6" s="4"/>
      <c r="K6" s="4"/>
      <c r="L6" s="4"/>
    </row>
    <row r="7" spans="1:14" x14ac:dyDescent="0.2">
      <c r="A7" s="1" t="s">
        <v>90</v>
      </c>
      <c r="B7" s="11">
        <v>-0.05</v>
      </c>
      <c r="C7" s="11">
        <v>-0.04</v>
      </c>
      <c r="D7" s="11">
        <v>-0.03</v>
      </c>
      <c r="E7" s="11">
        <v>-0.02</v>
      </c>
      <c r="F7" s="11">
        <v>-0.01</v>
      </c>
      <c r="G7" s="11">
        <v>6.9388939039072284E-18</v>
      </c>
      <c r="H7" s="11">
        <v>0.01</v>
      </c>
      <c r="I7" s="11">
        <v>0.02</v>
      </c>
      <c r="J7" s="11">
        <v>0.03</v>
      </c>
      <c r="K7" s="11">
        <v>0.04</v>
      </c>
      <c r="L7" s="11">
        <v>0.05</v>
      </c>
      <c r="N7" t="s">
        <v>135</v>
      </c>
    </row>
    <row r="8" spans="1:14" x14ac:dyDescent="0.2">
      <c r="A8" s="14">
        <v>1</v>
      </c>
      <c r="B8" s="15">
        <f>((1+B$7)/(ModUPV_femp_disc-B$7))*(1-((1+B$7)/(1+ModUPV_femp_disc))^$A8)</f>
        <v>0.92233009708737956</v>
      </c>
      <c r="C8" s="15">
        <f t="shared" ref="C8:L8" si="0">((1+C$7)/(ModUPV_femp_disc-C$7))*(1-((1+C$7)/(1+ModUPV_femp_disc))^$A8)</f>
        <v>0.93203883495145723</v>
      </c>
      <c r="D8" s="15">
        <f t="shared" si="0"/>
        <v>0.94174757281553545</v>
      </c>
      <c r="E8" s="15">
        <f t="shared" si="0"/>
        <v>0.95145631067961334</v>
      </c>
      <c r="F8" s="15">
        <f t="shared" si="0"/>
        <v>0.96116504854368889</v>
      </c>
      <c r="G8" s="15">
        <f t="shared" si="0"/>
        <v>0.97087378640776678</v>
      </c>
      <c r="H8" s="15">
        <f t="shared" si="0"/>
        <v>0.98058252427184434</v>
      </c>
      <c r="I8" s="15">
        <f t="shared" si="0"/>
        <v>0.990291262135922</v>
      </c>
      <c r="J8" s="15" t="e">
        <f t="shared" si="0"/>
        <v>#DIV/0!</v>
      </c>
      <c r="K8" s="15">
        <f t="shared" si="0"/>
        <v>1.009708737864077</v>
      </c>
      <c r="L8" s="15">
        <f t="shared" si="0"/>
        <v>1.0194174757281547</v>
      </c>
    </row>
    <row r="9" spans="1:14" x14ac:dyDescent="0.2">
      <c r="A9" s="14">
        <v>2</v>
      </c>
      <c r="B9" s="15">
        <f t="shared" ref="B9:L24" si="1">((1+B$7)/(ModUPV_femp_disc-B$7))*(1-((1+B$7)/(1+ModUPV_femp_disc))^$A9)</f>
        <v>1.7730229050805941</v>
      </c>
      <c r="C9" s="15">
        <f t="shared" si="1"/>
        <v>1.8007352248091264</v>
      </c>
      <c r="D9" s="15">
        <f t="shared" si="1"/>
        <v>1.8286360637194867</v>
      </c>
      <c r="E9" s="15">
        <f t="shared" si="1"/>
        <v>1.8567254218116718</v>
      </c>
      <c r="F9" s="15">
        <f t="shared" si="1"/>
        <v>1.885003299085682</v>
      </c>
      <c r="G9" s="15">
        <f t="shared" si="1"/>
        <v>1.9134696955415222</v>
      </c>
      <c r="H9" s="15">
        <f t="shared" si="1"/>
        <v>1.9421246111791846</v>
      </c>
      <c r="I9" s="15">
        <f t="shared" si="1"/>
        <v>1.9709680459986814</v>
      </c>
      <c r="J9" s="15" t="e">
        <f t="shared" si="1"/>
        <v>#DIV/0!</v>
      </c>
      <c r="K9" s="15">
        <f t="shared" si="1"/>
        <v>2.0292204731831549</v>
      </c>
      <c r="L9" s="15">
        <f t="shared" si="1"/>
        <v>2.058629465548115</v>
      </c>
    </row>
    <row r="10" spans="1:14" x14ac:dyDescent="0.2">
      <c r="A10" s="14">
        <v>3</v>
      </c>
      <c r="B10" s="15">
        <f t="shared" si="1"/>
        <v>2.5576424852685093</v>
      </c>
      <c r="C10" s="15">
        <f t="shared" si="1"/>
        <v>2.6103939959386047</v>
      </c>
      <c r="D10" s="15">
        <f t="shared" si="1"/>
        <v>2.6638611473863145</v>
      </c>
      <c r="E10" s="15">
        <f t="shared" si="1"/>
        <v>2.7180494304615919</v>
      </c>
      <c r="F10" s="15">
        <f t="shared" si="1"/>
        <v>2.7729643360143923</v>
      </c>
      <c r="G10" s="15">
        <f t="shared" si="1"/>
        <v>2.8286113548946803</v>
      </c>
      <c r="H10" s="15">
        <f t="shared" si="1"/>
        <v>2.8849959779524057</v>
      </c>
      <c r="I10" s="15">
        <f t="shared" si="1"/>
        <v>2.9421236960375308</v>
      </c>
      <c r="J10" s="15" t="e">
        <f t="shared" si="1"/>
        <v>#DIV/0!</v>
      </c>
      <c r="K10" s="15">
        <f t="shared" si="1"/>
        <v>3.0586303806897823</v>
      </c>
      <c r="L10" s="15">
        <f t="shared" si="1"/>
        <v>3.1180203289568156</v>
      </c>
    </row>
    <row r="11" spans="1:14" x14ac:dyDescent="0.2">
      <c r="A11" s="14">
        <v>4</v>
      </c>
      <c r="B11" s="15">
        <f t="shared" si="1"/>
        <v>3.2813207388398897</v>
      </c>
      <c r="C11" s="15">
        <f t="shared" si="1"/>
        <v>3.3650274136903509</v>
      </c>
      <c r="D11" s="15">
        <f t="shared" si="1"/>
        <v>3.4504323426841998</v>
      </c>
      <c r="E11" s="15">
        <f t="shared" si="1"/>
        <v>3.537561594031418</v>
      </c>
      <c r="F11" s="15">
        <f t="shared" si="1"/>
        <v>3.6264414491788823</v>
      </c>
      <c r="G11" s="15">
        <f t="shared" si="1"/>
        <v>3.7170984028103713</v>
      </c>
      <c r="H11" s="15">
        <f t="shared" si="1"/>
        <v>3.8095591628465293</v>
      </c>
      <c r="I11" s="15">
        <f t="shared" si="1"/>
        <v>3.903850650444932</v>
      </c>
      <c r="J11" s="15" t="e">
        <f t="shared" si="1"/>
        <v>#DIV/0!</v>
      </c>
      <c r="K11" s="15">
        <f t="shared" si="1"/>
        <v>4.0980345591430973</v>
      </c>
      <c r="L11" s="15">
        <f t="shared" si="1"/>
        <v>4.1979818887423814</v>
      </c>
    </row>
    <row r="12" spans="1:14" x14ac:dyDescent="0.2">
      <c r="A12" s="14">
        <v>5</v>
      </c>
      <c r="B12" s="15">
        <f t="shared" si="1"/>
        <v>3.9487909727164037</v>
      </c>
      <c r="C12" s="15">
        <f t="shared" si="1"/>
        <v>4.0683750651871238</v>
      </c>
      <c r="D12" s="15">
        <f t="shared" si="1"/>
        <v>4.1911838567025965</v>
      </c>
      <c r="E12" s="15">
        <f t="shared" si="1"/>
        <v>4.3172916137386315</v>
      </c>
      <c r="F12" s="15">
        <f t="shared" si="1"/>
        <v>4.446773820084557</v>
      </c>
      <c r="G12" s="15">
        <f t="shared" si="1"/>
        <v>4.5797071871945345</v>
      </c>
      <c r="H12" s="15">
        <f t="shared" si="1"/>
        <v>4.7161696645388309</v>
      </c>
      <c r="I12" s="15">
        <f t="shared" si="1"/>
        <v>4.8562404499551759</v>
      </c>
      <c r="J12" s="15" t="e">
        <f t="shared" si="1"/>
        <v>#DIV/0!</v>
      </c>
      <c r="K12" s="15">
        <f t="shared" si="1"/>
        <v>5.1475300402998352</v>
      </c>
      <c r="L12" s="15">
        <f t="shared" si="1"/>
        <v>5.2989135759024304</v>
      </c>
    </row>
    <row r="13" spans="1:14" x14ac:dyDescent="0.2">
      <c r="A13" s="14">
        <v>6</v>
      </c>
      <c r="B13" s="15">
        <f t="shared" si="1"/>
        <v>4.5644188583306642</v>
      </c>
      <c r="C13" s="15">
        <f t="shared" si="1"/>
        <v>4.7239223908540193</v>
      </c>
      <c r="D13" s="15">
        <f t="shared" si="1"/>
        <v>4.8887847970888547</v>
      </c>
      <c r="E13" s="15">
        <f t="shared" si="1"/>
        <v>5.059170661615398</v>
      </c>
      <c r="F13" s="15">
        <f t="shared" si="1"/>
        <v>5.2352486231880686</v>
      </c>
      <c r="G13" s="15">
        <f t="shared" si="1"/>
        <v>5.4171914438781901</v>
      </c>
      <c r="H13" s="15">
        <f t="shared" si="1"/>
        <v>5.6051760788196248</v>
      </c>
      <c r="I13" s="15">
        <f t="shared" si="1"/>
        <v>5.7993837465575524</v>
      </c>
      <c r="J13" s="15" t="e">
        <f t="shared" si="1"/>
        <v>#DIV/0!</v>
      </c>
      <c r="K13" s="15">
        <f t="shared" si="1"/>
        <v>6.207214797972644</v>
      </c>
      <c r="L13" s="15">
        <f t="shared" si="1"/>
        <v>6.4212225773762581</v>
      </c>
      <c r="N13" t="s">
        <v>136</v>
      </c>
    </row>
    <row r="14" spans="1:14" x14ac:dyDescent="0.2">
      <c r="A14" s="14">
        <v>7</v>
      </c>
      <c r="B14" s="15">
        <f t="shared" si="1"/>
        <v>5.1322309858389623</v>
      </c>
      <c r="C14" s="15">
        <f t="shared" si="1"/>
        <v>5.3349179565241354</v>
      </c>
      <c r="D14" s="15">
        <f t="shared" si="1"/>
        <v>5.5457487894914488</v>
      </c>
      <c r="E14" s="15">
        <f t="shared" si="1"/>
        <v>5.7650361634787295</v>
      </c>
      <c r="F14" s="15">
        <f t="shared" si="1"/>
        <v>5.9931030455885308</v>
      </c>
      <c r="G14" s="15">
        <f t="shared" si="1"/>
        <v>6.2302829552215426</v>
      </c>
      <c r="H14" s="15">
        <f t="shared" si="1"/>
        <v>6.4769202326289532</v>
      </c>
      <c r="I14" s="15">
        <f t="shared" si="1"/>
        <v>6.7333703121249622</v>
      </c>
      <c r="J14" s="15" t="e">
        <f t="shared" si="1"/>
        <v>#DIV/0!</v>
      </c>
      <c r="K14" s="15">
        <f t="shared" si="1"/>
        <v>7.2771877571762724</v>
      </c>
      <c r="L14" s="15">
        <f t="shared" si="1"/>
        <v>7.5653239866457005</v>
      </c>
    </row>
    <row r="15" spans="1:14" x14ac:dyDescent="0.2">
      <c r="A15" s="14">
        <v>8</v>
      </c>
      <c r="B15" s="15">
        <f t="shared" si="1"/>
        <v>5.6559412005310827</v>
      </c>
      <c r="C15" s="15">
        <f t="shared" si="1"/>
        <v>5.9043895517118159</v>
      </c>
      <c r="D15" s="15">
        <f t="shared" si="1"/>
        <v>6.1644430347637913</v>
      </c>
      <c r="E15" s="15">
        <f t="shared" si="1"/>
        <v>6.4366363497176255</v>
      </c>
      <c r="F15" s="15">
        <f t="shared" si="1"/>
        <v>6.7215262282841222</v>
      </c>
      <c r="G15" s="15">
        <f t="shared" si="1"/>
        <v>7.0196921895354816</v>
      </c>
      <c r="H15" s="15">
        <f t="shared" si="1"/>
        <v>7.3317373154905257</v>
      </c>
      <c r="I15" s="15">
        <f t="shared" si="1"/>
        <v>7.6582890469586919</v>
      </c>
      <c r="J15" s="15" t="e">
        <f t="shared" si="1"/>
        <v>#DIV/0!</v>
      </c>
      <c r="K15" s="15">
        <f t="shared" si="1"/>
        <v>8.3575488033624534</v>
      </c>
      <c r="L15" s="15">
        <f t="shared" si="1"/>
        <v>8.7316409572601774</v>
      </c>
    </row>
    <row r="16" spans="1:14" x14ac:dyDescent="0.2">
      <c r="A16" s="14">
        <v>9</v>
      </c>
      <c r="B16" s="15">
        <f t="shared" si="1"/>
        <v>6.1389748936937183</v>
      </c>
      <c r="C16" s="15">
        <f t="shared" si="1"/>
        <v>6.4351591938284898</v>
      </c>
      <c r="D16" s="15">
        <f t="shared" si="1"/>
        <v>6.7470968385639587</v>
      </c>
      <c r="E16" s="15">
        <f t="shared" si="1"/>
        <v>7.0756345851682267</v>
      </c>
      <c r="F16" s="15">
        <f t="shared" si="1"/>
        <v>7.4216611320400778</v>
      </c>
      <c r="G16" s="15">
        <f t="shared" si="1"/>
        <v>7.7861089218791077</v>
      </c>
      <c r="H16" s="15">
        <f t="shared" si="1"/>
        <v>8.1699560083936245</v>
      </c>
      <c r="I16" s="15">
        <f t="shared" si="1"/>
        <v>8.5742279882503549</v>
      </c>
      <c r="J16" s="15" t="e">
        <f t="shared" si="1"/>
        <v>#DIV/0!</v>
      </c>
      <c r="K16" s="15">
        <f t="shared" si="1"/>
        <v>9.4483987917446228</v>
      </c>
      <c r="L16" s="15">
        <f t="shared" si="1"/>
        <v>9.9206048593428964</v>
      </c>
    </row>
    <row r="17" spans="1:15" x14ac:dyDescent="0.2">
      <c r="A17" s="14">
        <v>10</v>
      </c>
      <c r="B17" s="15">
        <f t="shared" si="1"/>
        <v>6.5844914068048865</v>
      </c>
      <c r="C17" s="15">
        <f t="shared" si="1"/>
        <v>6.9298571126945161</v>
      </c>
      <c r="D17" s="15">
        <f t="shared" si="1"/>
        <v>7.2958096440845068</v>
      </c>
      <c r="E17" s="15">
        <f t="shared" si="1"/>
        <v>7.6836134888008392</v>
      </c>
      <c r="F17" s="15">
        <f t="shared" si="1"/>
        <v>8.0946063307958038</v>
      </c>
      <c r="G17" s="15">
        <f t="shared" si="1"/>
        <v>8.5302028367758336</v>
      </c>
      <c r="H17" s="15">
        <f t="shared" si="1"/>
        <v>8.9918986101723863</v>
      </c>
      <c r="I17" s="15">
        <f t="shared" si="1"/>
        <v>9.4812743184615123</v>
      </c>
      <c r="J17" s="15" t="e">
        <f t="shared" si="1"/>
        <v>#DIV/0!</v>
      </c>
      <c r="K17" s="15">
        <f t="shared" si="1"/>
        <v>10.549839556713014</v>
      </c>
      <c r="L17" s="15">
        <f t="shared" si="1"/>
        <v>11.132655439135956</v>
      </c>
      <c r="N17" s="10" t="s">
        <v>91</v>
      </c>
      <c r="O17" t="s">
        <v>137</v>
      </c>
    </row>
    <row r="18" spans="1:15" ht="14.25" x14ac:dyDescent="0.25">
      <c r="A18" s="14">
        <v>11</v>
      </c>
      <c r="B18" s="15">
        <f t="shared" si="1"/>
        <v>6.9954046955967399</v>
      </c>
      <c r="C18" s="15">
        <f t="shared" si="1"/>
        <v>7.3909347846473157</v>
      </c>
      <c r="D18" s="15">
        <f t="shared" si="1"/>
        <v>7.8125585968562845</v>
      </c>
      <c r="E18" s="15">
        <f t="shared" si="1"/>
        <v>8.2620788534221568</v>
      </c>
      <c r="F18" s="15">
        <f t="shared" si="1"/>
        <v>8.7414177354250917</v>
      </c>
      <c r="G18" s="15">
        <f t="shared" si="1"/>
        <v>9.2526241133745959</v>
      </c>
      <c r="H18" s="15">
        <f t="shared" si="1"/>
        <v>9.7978811614311709</v>
      </c>
      <c r="I18" s="15">
        <f t="shared" si="1"/>
        <v>10.379514373622085</v>
      </c>
      <c r="J18" s="15" t="e">
        <f t="shared" si="1"/>
        <v>#DIV/0!</v>
      </c>
      <c r="K18" s="15">
        <f t="shared" si="1"/>
        <v>11.6619739213413</v>
      </c>
      <c r="L18" s="15">
        <f t="shared" si="1"/>
        <v>12.368240981643455</v>
      </c>
      <c r="N18" s="10" t="s">
        <v>138</v>
      </c>
      <c r="O18" t="s">
        <v>139</v>
      </c>
    </row>
    <row r="19" spans="1:15" x14ac:dyDescent="0.2">
      <c r="A19" s="14">
        <v>12</v>
      </c>
      <c r="B19" s="15">
        <f t="shared" si="1"/>
        <v>7.3744023891426256</v>
      </c>
      <c r="C19" s="15">
        <f t="shared" si="1"/>
        <v>7.8206770808363348</v>
      </c>
      <c r="D19" s="15">
        <f t="shared" si="1"/>
        <v>8.2992056688840723</v>
      </c>
      <c r="E19" s="15">
        <f t="shared" si="1"/>
        <v>8.8124633751006929</v>
      </c>
      <c r="F19" s="15">
        <f t="shared" si="1"/>
        <v>9.3631102505542163</v>
      </c>
      <c r="G19" s="15">
        <f t="shared" si="1"/>
        <v>9.9540039935675679</v>
      </c>
      <c r="H19" s="15">
        <f t="shared" si="1"/>
        <v>10.588213566063574</v>
      </c>
      <c r="I19" s="15">
        <f t="shared" si="1"/>
        <v>11.269033651548087</v>
      </c>
      <c r="J19" s="15" t="e">
        <f t="shared" si="1"/>
        <v>#DIV/0!</v>
      </c>
      <c r="K19" s="15">
        <f t="shared" si="1"/>
        <v>12.784905706985395</v>
      </c>
      <c r="L19" s="15">
        <f t="shared" si="1"/>
        <v>13.627818476432637</v>
      </c>
      <c r="N19" s="10" t="s">
        <v>95</v>
      </c>
      <c r="O19" t="s">
        <v>96</v>
      </c>
    </row>
    <row r="20" spans="1:15" x14ac:dyDescent="0.2">
      <c r="A20" s="14">
        <v>13</v>
      </c>
      <c r="B20" s="15">
        <f t="shared" si="1"/>
        <v>7.7239633686266931</v>
      </c>
      <c r="C20" s="15">
        <f t="shared" si="1"/>
        <v>8.2212135899057088</v>
      </c>
      <c r="D20" s="15">
        <f t="shared" si="1"/>
        <v>8.7575043677840316</v>
      </c>
      <c r="E20" s="15">
        <f t="shared" si="1"/>
        <v>9.3361302015521161</v>
      </c>
      <c r="F20" s="15">
        <f t="shared" si="1"/>
        <v>9.9606593670375467</v>
      </c>
      <c r="G20" s="15">
        <f t="shared" si="1"/>
        <v>10.634955333560747</v>
      </c>
      <c r="H20" s="15">
        <f t="shared" si="1"/>
        <v>11.363199710411859</v>
      </c>
      <c r="I20" s="15">
        <f t="shared" si="1"/>
        <v>12.149916819979659</v>
      </c>
      <c r="J20" s="15" t="e">
        <f t="shared" si="1"/>
        <v>#DIV/0!</v>
      </c>
      <c r="K20" s="15">
        <f t="shared" si="1"/>
        <v>13.91873974297555</v>
      </c>
      <c r="L20" s="15">
        <f t="shared" si="1"/>
        <v>14.911853786654643</v>
      </c>
      <c r="N20" s="10" t="s">
        <v>140</v>
      </c>
      <c r="O20" t="s">
        <v>141</v>
      </c>
    </row>
    <row r="21" spans="1:15" x14ac:dyDescent="0.2">
      <c r="A21" s="14">
        <v>14</v>
      </c>
      <c r="B21" s="15">
        <f t="shared" si="1"/>
        <v>8.0463739807721932</v>
      </c>
      <c r="C21" s="15">
        <f t="shared" si="1"/>
        <v>8.5945291711742549</v>
      </c>
      <c r="D21" s="15">
        <f t="shared" si="1"/>
        <v>9.189106055097584</v>
      </c>
      <c r="E21" s="15">
        <f t="shared" si="1"/>
        <v>9.8343763082728906</v>
      </c>
      <c r="F21" s="15">
        <f t="shared" si="1"/>
        <v>10.535002692589485</v>
      </c>
      <c r="G21" s="15">
        <f t="shared" si="1"/>
        <v>11.296073139379367</v>
      </c>
      <c r="H21" s="15">
        <f t="shared" si="1"/>
        <v>12.123137580112594</v>
      </c>
      <c r="I21" s="15">
        <f t="shared" si="1"/>
        <v>13.022247724640053</v>
      </c>
      <c r="J21" s="15" t="e">
        <f t="shared" si="1"/>
        <v>#DIV/0!</v>
      </c>
      <c r="K21" s="15">
        <f t="shared" si="1"/>
        <v>15.063581876402505</v>
      </c>
      <c r="L21" s="15">
        <f t="shared" si="1"/>
        <v>16.220821821346952</v>
      </c>
      <c r="N21" s="10" t="s">
        <v>97</v>
      </c>
      <c r="O21" t="s">
        <v>154</v>
      </c>
    </row>
    <row r="22" spans="1:15" x14ac:dyDescent="0.2">
      <c r="A22" s="14">
        <v>15</v>
      </c>
      <c r="B22" s="15">
        <f t="shared" si="1"/>
        <v>8.343742991974354</v>
      </c>
      <c r="C22" s="15">
        <f t="shared" si="1"/>
        <v>8.9424737906090144</v>
      </c>
      <c r="D22" s="15">
        <f t="shared" si="1"/>
        <v>9.5955658965482105</v>
      </c>
      <c r="E22" s="15">
        <f t="shared" si="1"/>
        <v>10.308435710783915</v>
      </c>
      <c r="F22" s="15">
        <f t="shared" si="1"/>
        <v>11.087041422974359</v>
      </c>
      <c r="G22" s="15">
        <f t="shared" si="1"/>
        <v>11.937935086776081</v>
      </c>
      <c r="H22" s="15">
        <f t="shared" si="1"/>
        <v>12.868319374673511</v>
      </c>
      <c r="I22" s="15">
        <f t="shared" si="1"/>
        <v>13.886109397216362</v>
      </c>
      <c r="J22" s="15" t="e">
        <f t="shared" si="1"/>
        <v>#DIV/0!</v>
      </c>
      <c r="K22" s="15">
        <f t="shared" si="1"/>
        <v>16.219538981998646</v>
      </c>
      <c r="L22" s="15">
        <f t="shared" si="1"/>
        <v>17.555206711081851</v>
      </c>
    </row>
    <row r="23" spans="1:15" x14ac:dyDescent="0.2">
      <c r="A23" s="14">
        <v>16</v>
      </c>
      <c r="B23" s="15">
        <f t="shared" si="1"/>
        <v>8.6180153809472184</v>
      </c>
      <c r="C23" s="15">
        <f t="shared" si="1"/>
        <v>9.2667716883346163</v>
      </c>
      <c r="D23" s="15">
        <f t="shared" si="1"/>
        <v>9.9783484656813251</v>
      </c>
      <c r="E23" s="15">
        <f t="shared" si="1"/>
        <v>10.759482520940033</v>
      </c>
      <c r="F23" s="15">
        <f t="shared" si="1"/>
        <v>11.617641756062733</v>
      </c>
      <c r="G23" s="15">
        <f t="shared" si="1"/>
        <v>12.561102025996199</v>
      </c>
      <c r="H23" s="15">
        <f t="shared" si="1"/>
        <v>13.599031619825485</v>
      </c>
      <c r="I23" s="15">
        <f t="shared" si="1"/>
        <v>14.741584063262797</v>
      </c>
      <c r="J23" s="15" t="e">
        <f t="shared" si="1"/>
        <v>#DIV/0!</v>
      </c>
      <c r="K23" s="15">
        <f t="shared" si="1"/>
        <v>17.386718972115151</v>
      </c>
      <c r="L23" s="15">
        <f t="shared" si="1"/>
        <v>18.915501987025184</v>
      </c>
    </row>
    <row r="24" spans="1:15" x14ac:dyDescent="0.2">
      <c r="A24" s="14">
        <v>17</v>
      </c>
      <c r="B24" s="15">
        <f t="shared" si="1"/>
        <v>8.8709850600969506</v>
      </c>
      <c r="C24" s="15">
        <f t="shared" si="1"/>
        <v>9.5690299231079905</v>
      </c>
      <c r="D24" s="15">
        <f t="shared" si="1"/>
        <v>10.33883302107853</v>
      </c>
      <c r="E24" s="15">
        <f t="shared" si="1"/>
        <v>11.188633854874984</v>
      </c>
      <c r="F24" s="15">
        <f t="shared" si="1"/>
        <v>12.127636250972918</v>
      </c>
      <c r="G24" s="15">
        <f t="shared" si="1"/>
        <v>13.166118471840971</v>
      </c>
      <c r="H24" s="15">
        <f t="shared" si="1"/>
        <v>14.315555277692948</v>
      </c>
      <c r="I24" s="15">
        <f t="shared" si="1"/>
        <v>15.588753150027232</v>
      </c>
      <c r="J24" s="15" t="e">
        <f t="shared" si="1"/>
        <v>#DIV/0!</v>
      </c>
      <c r="K24" s="15">
        <f t="shared" si="1"/>
        <v>18.565230806795888</v>
      </c>
      <c r="L24" s="15">
        <f t="shared" si="1"/>
        <v>20.302210763472271</v>
      </c>
    </row>
    <row r="25" spans="1:15" x14ac:dyDescent="0.2">
      <c r="A25" s="14">
        <v>18</v>
      </c>
      <c r="B25" s="15">
        <f t="shared" ref="B25:L37" si="2">((1+B$7)/(ModUPV_femp_disc-B$7))*(1-((1+B$7)/(1+ModUPV_femp_disc))^$A25)</f>
        <v>9.1043066088272848</v>
      </c>
      <c r="C25" s="15">
        <f t="shared" si="2"/>
        <v>9.8507463361006522</v>
      </c>
      <c r="D25" s="15">
        <f t="shared" si="2"/>
        <v>10.678318476161335</v>
      </c>
      <c r="E25" s="15">
        <f t="shared" si="2"/>
        <v>11.596952599783966</v>
      </c>
      <c r="F25" s="15">
        <f t="shared" si="2"/>
        <v>12.61782513443028</v>
      </c>
      <c r="G25" s="15">
        <f t="shared" si="2"/>
        <v>13.753513079457255</v>
      </c>
      <c r="H25" s="15">
        <f t="shared" si="2"/>
        <v>15.018165854825124</v>
      </c>
      <c r="I25" s="15">
        <f t="shared" si="2"/>
        <v>16.427697294201735</v>
      </c>
      <c r="J25" s="15" t="e">
        <f t="shared" si="2"/>
        <v>#DIV/0!</v>
      </c>
      <c r="K25" s="15">
        <f t="shared" si="2"/>
        <v>19.755184503949248</v>
      </c>
      <c r="L25" s="15">
        <f t="shared" si="2"/>
        <v>21.715845923928036</v>
      </c>
    </row>
    <row r="26" spans="1:15" x14ac:dyDescent="0.2">
      <c r="A26" s="14">
        <v>19</v>
      </c>
      <c r="B26" s="15">
        <f t="shared" si="2"/>
        <v>9.3195060955203104</v>
      </c>
      <c r="C26" s="15">
        <f t="shared" si="2"/>
        <v>10.113316973453035</v>
      </c>
      <c r="D26" s="15">
        <f t="shared" si="2"/>
        <v>10.998028079491744</v>
      </c>
      <c r="E26" s="15">
        <f t="shared" si="2"/>
        <v>11.985450046396396</v>
      </c>
      <c r="F26" s="15">
        <f t="shared" si="2"/>
        <v>13.088977556394155</v>
      </c>
      <c r="G26" s="15">
        <f t="shared" si="2"/>
        <v>14.323799106269179</v>
      </c>
      <c r="H26" s="15">
        <f t="shared" si="2"/>
        <v>15.707133508129495</v>
      </c>
      <c r="I26" s="15">
        <f t="shared" si="2"/>
        <v>17.258496349597838</v>
      </c>
      <c r="J26" s="15" t="e">
        <f t="shared" si="2"/>
        <v>#DIV/0!</v>
      </c>
      <c r="K26" s="15">
        <f t="shared" si="2"/>
        <v>20.956691149618649</v>
      </c>
      <c r="L26" s="15">
        <f t="shared" si="2"/>
        <v>23.156930310800433</v>
      </c>
    </row>
    <row r="27" spans="1:15" x14ac:dyDescent="0.2">
      <c r="A27" s="14">
        <v>20</v>
      </c>
      <c r="B27" s="15">
        <f t="shared" si="2"/>
        <v>9.5179910589750456</v>
      </c>
      <c r="C27" s="15">
        <f t="shared" si="2"/>
        <v>10.358043004383413</v>
      </c>
      <c r="D27" s="15">
        <f t="shared" si="2"/>
        <v>11.299113822433972</v>
      </c>
      <c r="E27" s="15">
        <f t="shared" si="2"/>
        <v>12.355088393658706</v>
      </c>
      <c r="F27" s="15">
        <f t="shared" si="2"/>
        <v>13.541832796922538</v>
      </c>
      <c r="G27" s="15">
        <f t="shared" si="2"/>
        <v>14.877474860455512</v>
      </c>
      <c r="H27" s="15">
        <f t="shared" si="2"/>
        <v>16.382723148748333</v>
      </c>
      <c r="I27" s="15">
        <f t="shared" si="2"/>
        <v>18.081229394747371</v>
      </c>
      <c r="J27" s="15" t="e">
        <f t="shared" si="2"/>
        <v>#DIV/0!</v>
      </c>
      <c r="K27" s="15">
        <f t="shared" si="2"/>
        <v>22.16986290835284</v>
      </c>
      <c r="L27" s="15">
        <f t="shared" si="2"/>
        <v>24.625996918777137</v>
      </c>
    </row>
    <row r="28" spans="1:15" x14ac:dyDescent="0.2">
      <c r="A28" s="14">
        <v>21</v>
      </c>
      <c r="B28" s="15">
        <f t="shared" si="2"/>
        <v>9.7010597145886344</v>
      </c>
      <c r="C28" s="15">
        <f t="shared" si="2"/>
        <v>10.586137169134053</v>
      </c>
      <c r="D28" s="15">
        <f t="shared" si="2"/>
        <v>11.582660590059179</v>
      </c>
      <c r="E28" s="15">
        <f t="shared" si="2"/>
        <v>12.706783131830615</v>
      </c>
      <c r="F28" s="15">
        <f t="shared" si="2"/>
        <v>13.977101426168263</v>
      </c>
      <c r="G28" s="15">
        <f t="shared" si="2"/>
        <v>15.415024136364575</v>
      </c>
      <c r="H28" s="15">
        <f t="shared" si="2"/>
        <v>17.045194543918271</v>
      </c>
      <c r="I28" s="15">
        <f t="shared" si="2"/>
        <v>18.895974740429427</v>
      </c>
      <c r="J28" s="15" t="e">
        <f t="shared" si="2"/>
        <v>#DIV/0!</v>
      </c>
      <c r="K28" s="15">
        <f t="shared" si="2"/>
        <v>23.394813033676652</v>
      </c>
      <c r="L28" s="15">
        <f t="shared" si="2"/>
        <v>26.123589091957278</v>
      </c>
    </row>
    <row r="29" spans="1:15" x14ac:dyDescent="0.2">
      <c r="A29" s="14">
        <v>22</v>
      </c>
      <c r="B29" s="15">
        <f t="shared" si="2"/>
        <v>9.8699094454943701</v>
      </c>
      <c r="C29" s="15">
        <f t="shared" si="2"/>
        <v>10.798729788707467</v>
      </c>
      <c r="D29" s="15">
        <f t="shared" si="2"/>
        <v>11.849690070249906</v>
      </c>
      <c r="E29" s="15">
        <f t="shared" si="2"/>
        <v>13.04140530989709</v>
      </c>
      <c r="F29" s="15">
        <f t="shared" si="2"/>
        <v>14.395466419326777</v>
      </c>
      <c r="G29" s="15">
        <f t="shared" si="2"/>
        <v>15.93691663724716</v>
      </c>
      <c r="H29" s="15">
        <f t="shared" si="2"/>
        <v>17.694802416851889</v>
      </c>
      <c r="I29" s="15">
        <f t="shared" si="2"/>
        <v>19.70280993712429</v>
      </c>
      <c r="J29" s="15" t="e">
        <f t="shared" si="2"/>
        <v>#DIV/0!</v>
      </c>
      <c r="K29" s="15">
        <f t="shared" si="2"/>
        <v>24.631655878663807</v>
      </c>
      <c r="L29" s="15">
        <f t="shared" si="2"/>
        <v>27.650260724810806</v>
      </c>
    </row>
    <row r="30" spans="1:15" x14ac:dyDescent="0.2">
      <c r="A30" s="14">
        <v>23</v>
      </c>
      <c r="B30" s="15">
        <f t="shared" si="2"/>
        <v>10.025644634193837</v>
      </c>
      <c r="C30" s="15">
        <f t="shared" si="2"/>
        <v>10.99687436617395</v>
      </c>
      <c r="D30" s="15">
        <f t="shared" si="2"/>
        <v>12.10116443508972</v>
      </c>
      <c r="E30" s="15">
        <f t="shared" si="2"/>
        <v>13.359783692911796</v>
      </c>
      <c r="F30" s="15">
        <f t="shared" si="2"/>
        <v>14.797584228284958</v>
      </c>
      <c r="G30" s="15">
        <f t="shared" si="2"/>
        <v>16.443608385676857</v>
      </c>
      <c r="H30" s="15">
        <f t="shared" si="2"/>
        <v>18.331796544680014</v>
      </c>
      <c r="I30" s="15">
        <f t="shared" si="2"/>
        <v>20.501811782394938</v>
      </c>
      <c r="J30" s="15" t="e">
        <f t="shared" si="2"/>
        <v>#DIV/0!</v>
      </c>
      <c r="K30" s="15">
        <f t="shared" si="2"/>
        <v>25.880506906612002</v>
      </c>
      <c r="L30" s="15">
        <f t="shared" si="2"/>
        <v>29.20657646704014</v>
      </c>
    </row>
    <row r="31" spans="1:15" x14ac:dyDescent="0.2">
      <c r="A31" s="14">
        <v>24</v>
      </c>
      <c r="B31" s="15">
        <f t="shared" si="2"/>
        <v>10.169283885906937</v>
      </c>
      <c r="C31" s="15">
        <f t="shared" si="2"/>
        <v>11.18155280730776</v>
      </c>
      <c r="D31" s="15">
        <f t="shared" si="2"/>
        <v>12.337989807802938</v>
      </c>
      <c r="E31" s="15">
        <f t="shared" si="2"/>
        <v>13.662706814615106</v>
      </c>
      <c r="F31" s="15">
        <f t="shared" si="2"/>
        <v>15.184085811652531</v>
      </c>
      <c r="G31" s="15">
        <f t="shared" si="2"/>
        <v>16.935542122016368</v>
      </c>
      <c r="H31" s="15">
        <f t="shared" si="2"/>
        <v>18.956421854492049</v>
      </c>
      <c r="I31" s="15">
        <f t="shared" si="2"/>
        <v>21.293056328196922</v>
      </c>
      <c r="J31" s="15" t="e">
        <f t="shared" si="2"/>
        <v>#DIV/0!</v>
      </c>
      <c r="K31" s="15">
        <f t="shared" si="2"/>
        <v>27.141482701821847</v>
      </c>
      <c r="L31" s="15">
        <f t="shared" si="2"/>
        <v>30.793111932419553</v>
      </c>
    </row>
    <row r="32" spans="1:15" x14ac:dyDescent="0.2">
      <c r="A32" s="14">
        <v>25</v>
      </c>
      <c r="B32" s="15">
        <f t="shared" si="2"/>
        <v>10.301766690885039</v>
      </c>
      <c r="C32" s="15">
        <f t="shared" si="2"/>
        <v>11.353680286422767</v>
      </c>
      <c r="D32" s="15">
        <f t="shared" si="2"/>
        <v>12.561019527736748</v>
      </c>
      <c r="E32" s="15">
        <f t="shared" si="2"/>
        <v>13.950924930410489</v>
      </c>
      <c r="F32" s="15">
        <f t="shared" si="2"/>
        <v>15.555577624792242</v>
      </c>
      <c r="G32" s="15">
        <f t="shared" si="2"/>
        <v>17.413147691278024</v>
      </c>
      <c r="H32" s="15">
        <f t="shared" si="2"/>
        <v>19.568918517511619</v>
      </c>
      <c r="I32" s="15">
        <f t="shared" si="2"/>
        <v>22.076618888117331</v>
      </c>
      <c r="J32" s="15" t="e">
        <f t="shared" si="2"/>
        <v>#DIV/0!</v>
      </c>
      <c r="K32" s="15">
        <f t="shared" si="2"/>
        <v>28.414700980480326</v>
      </c>
      <c r="L32" s="15">
        <f t="shared" si="2"/>
        <v>32.410453911689842</v>
      </c>
    </row>
    <row r="33" spans="1:12" x14ac:dyDescent="0.2">
      <c r="A33" s="14">
        <v>26</v>
      </c>
      <c r="B33" s="15">
        <f t="shared" si="2"/>
        <v>10.423959569262902</v>
      </c>
      <c r="C33" s="15">
        <f t="shared" si="2"/>
        <v>11.514109781520249</v>
      </c>
      <c r="D33" s="15">
        <f t="shared" si="2"/>
        <v>12.771057225150143</v>
      </c>
      <c r="E33" s="15">
        <f t="shared" si="2"/>
        <v>14.225151875536195</v>
      </c>
      <c r="F33" s="15">
        <f t="shared" si="2"/>
        <v>15.912642571402253</v>
      </c>
      <c r="G33" s="15">
        <f t="shared" si="2"/>
        <v>17.876842418716535</v>
      </c>
      <c r="H33" s="15">
        <f t="shared" si="2"/>
        <v>20.169522041443432</v>
      </c>
      <c r="I33" s="15">
        <f t="shared" si="2"/>
        <v>22.852574044543385</v>
      </c>
      <c r="J33" s="15" t="e">
        <f t="shared" si="2"/>
        <v>#DIV/0!</v>
      </c>
      <c r="K33" s="15">
        <f t="shared" si="2"/>
        <v>29.700280601650011</v>
      </c>
      <c r="L33" s="15">
        <f t="shared" si="2"/>
        <v>34.059200589586723</v>
      </c>
    </row>
    <row r="34" spans="1:12" x14ac:dyDescent="0.2">
      <c r="A34" s="14">
        <v>27</v>
      </c>
      <c r="B34" s="15">
        <f t="shared" si="2"/>
        <v>10.536661738640539</v>
      </c>
      <c r="C34" s="15">
        <f t="shared" si="2"/>
        <v>11.663636301222756</v>
      </c>
      <c r="D34" s="15">
        <f t="shared" si="2"/>
        <v>12.96885971688897</v>
      </c>
      <c r="E34" s="15">
        <f t="shared" si="2"/>
        <v>14.486066833034435</v>
      </c>
      <c r="F34" s="15">
        <f t="shared" si="2"/>
        <v>16.25584091814391</v>
      </c>
      <c r="G34" s="15">
        <f t="shared" si="2"/>
        <v>18.327031474482066</v>
      </c>
      <c r="H34" s="15">
        <f t="shared" si="2"/>
        <v>20.758463361027054</v>
      </c>
      <c r="I34" s="15">
        <f t="shared" si="2"/>
        <v>23.620995655761408</v>
      </c>
      <c r="J34" s="15" t="e">
        <f t="shared" si="2"/>
        <v>#DIV/0!</v>
      </c>
      <c r="K34" s="15">
        <f t="shared" si="2"/>
        <v>30.998341578365075</v>
      </c>
      <c r="L34" s="15">
        <f t="shared" si="2"/>
        <v>35.73996176608356</v>
      </c>
    </row>
    <row r="35" spans="1:12" x14ac:dyDescent="0.2">
      <c r="A35" s="14">
        <v>28</v>
      </c>
      <c r="B35" s="15">
        <f t="shared" si="2"/>
        <v>10.640610341464576</v>
      </c>
      <c r="C35" s="15">
        <f t="shared" si="2"/>
        <v>11.803000824440627</v>
      </c>
      <c r="D35" s="15">
        <f t="shared" si="2"/>
        <v>13.155139733380874</v>
      </c>
      <c r="E35" s="15">
        <f t="shared" si="2"/>
        <v>14.734316015896843</v>
      </c>
      <c r="F35" s="15">
        <f t="shared" si="2"/>
        <v>16.585711173749971</v>
      </c>
      <c r="G35" s="15">
        <f t="shared" si="2"/>
        <v>18.764108227652493</v>
      </c>
      <c r="H35" s="15">
        <f t="shared" si="2"/>
        <v>21.335968926832354</v>
      </c>
      <c r="I35" s="15">
        <f t="shared" si="2"/>
        <v>24.381956862987025</v>
      </c>
      <c r="J35" s="15" t="e">
        <f t="shared" si="2"/>
        <v>#DIV/0!</v>
      </c>
      <c r="K35" s="15">
        <f t="shared" si="2"/>
        <v>32.309005088834638</v>
      </c>
      <c r="L35" s="15">
        <f t="shared" si="2"/>
        <v>37.453359081929825</v>
      </c>
    </row>
    <row r="36" spans="1:12" x14ac:dyDescent="0.2">
      <c r="A36" s="14">
        <v>29</v>
      </c>
      <c r="B36" s="15">
        <f t="shared" si="2"/>
        <v>10.736485266399367</v>
      </c>
      <c r="C36" s="15">
        <f t="shared" si="2"/>
        <v>11.932893972294178</v>
      </c>
      <c r="D36" s="15">
        <f t="shared" si="2"/>
        <v>13.330568486776162</v>
      </c>
      <c r="E36" s="15">
        <f t="shared" si="2"/>
        <v>14.970514267552335</v>
      </c>
      <c r="F36" s="15">
        <f t="shared" si="2"/>
        <v>16.902770933992695</v>
      </c>
      <c r="G36" s="15">
        <f t="shared" si="2"/>
        <v>19.188454589953874</v>
      </c>
      <c r="H36" s="15">
        <f t="shared" si="2"/>
        <v>21.902260792330758</v>
      </c>
      <c r="I36" s="15">
        <f t="shared" si="2"/>
        <v>25.135530097326956</v>
      </c>
      <c r="J36" s="15" t="e">
        <f t="shared" si="2"/>
        <v>#DIV/0!</v>
      </c>
      <c r="K36" s="15">
        <f t="shared" si="2"/>
        <v>33.632393487755387</v>
      </c>
      <c r="L36" s="15">
        <f t="shared" si="2"/>
        <v>39.200026248569252</v>
      </c>
    </row>
    <row r="37" spans="1:12" x14ac:dyDescent="0.2">
      <c r="A37" s="14">
        <v>30</v>
      </c>
      <c r="B37" s="15">
        <f t="shared" si="2"/>
        <v>10.824913595222716</v>
      </c>
      <c r="C37" s="15">
        <f t="shared" si="2"/>
        <v>12.053959430487776</v>
      </c>
      <c r="D37" s="15">
        <f t="shared" si="2"/>
        <v>13.495778089488232</v>
      </c>
      <c r="E37" s="15">
        <f t="shared" si="2"/>
        <v>15.195246584661447</v>
      </c>
      <c r="F37" s="15">
        <f t="shared" si="2"/>
        <v>17.207517693837634</v>
      </c>
      <c r="G37" s="15">
        <f t="shared" si="2"/>
        <v>19.600441349469786</v>
      </c>
      <c r="H37" s="15">
        <f t="shared" si="2"/>
        <v>22.457556699275788</v>
      </c>
      <c r="I37" s="15">
        <f t="shared" si="2"/>
        <v>25.881787086673302</v>
      </c>
      <c r="J37" s="15" t="e">
        <f t="shared" si="2"/>
        <v>#DIV/0!</v>
      </c>
      <c r="K37" s="15">
        <f t="shared" si="2"/>
        <v>34.968630317733599</v>
      </c>
      <c r="L37" s="15">
        <f t="shared" si="2"/>
        <v>40.980609282522039</v>
      </c>
    </row>
    <row r="39" spans="1:12" x14ac:dyDescent="0.2">
      <c r="A39" s="5" t="s">
        <v>85</v>
      </c>
    </row>
    <row r="40" spans="1:12" x14ac:dyDescent="0.2">
      <c r="A40"/>
      <c r="B40" t="s">
        <v>135</v>
      </c>
      <c r="H40" t="s">
        <v>136</v>
      </c>
    </row>
    <row r="41" spans="1:12" x14ac:dyDescent="0.2">
      <c r="A41"/>
      <c r="B41"/>
    </row>
    <row r="42" spans="1:12" x14ac:dyDescent="0.2">
      <c r="A42"/>
      <c r="B42"/>
    </row>
    <row r="43" spans="1:12" x14ac:dyDescent="0.2">
      <c r="A43"/>
      <c r="B43"/>
    </row>
    <row r="44" spans="1:12" x14ac:dyDescent="0.2">
      <c r="A44"/>
      <c r="B44"/>
    </row>
    <row r="45" spans="1:12" x14ac:dyDescent="0.2">
      <c r="A45" s="10" t="s">
        <v>91</v>
      </c>
      <c r="B45" t="s">
        <v>137</v>
      </c>
    </row>
    <row r="46" spans="1:12" ht="14.25" x14ac:dyDescent="0.25">
      <c r="A46" s="10" t="s">
        <v>138</v>
      </c>
      <c r="B46" t="s">
        <v>139</v>
      </c>
    </row>
    <row r="47" spans="1:12" x14ac:dyDescent="0.2">
      <c r="A47" s="10" t="s">
        <v>95</v>
      </c>
      <c r="B47" t="s">
        <v>96</v>
      </c>
    </row>
    <row r="48" spans="1:12" x14ac:dyDescent="0.2">
      <c r="A48" s="10" t="s">
        <v>140</v>
      </c>
      <c r="B48" t="s">
        <v>141</v>
      </c>
    </row>
    <row r="49" spans="1:2" x14ac:dyDescent="0.2">
      <c r="A49" s="10" t="s">
        <v>97</v>
      </c>
      <c r="B49" t="s">
        <v>154</v>
      </c>
    </row>
  </sheetData>
  <sheetProtection sheet="1" objects="1" scenarios="1"/>
  <phoneticPr fontId="0" type="noConversion"/>
  <printOptions horizontalCentered="1"/>
  <pageMargins left="0.5" right="0.5" top="0.75" bottom="0.5" header="0.5" footer="0.5"/>
  <pageSetup orientation="portrait" horizontalDpi="4294967292" verticalDpi="300"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1:R24"/>
  <sheetViews>
    <sheetView showGridLines="0" workbookViewId="0"/>
  </sheetViews>
  <sheetFormatPr defaultRowHeight="15" x14ac:dyDescent="0.2"/>
  <cols>
    <col min="2" max="2" width="9.140625" style="334"/>
  </cols>
  <sheetData>
    <row r="1" spans="2:18" s="74" customFormat="1" ht="18.75" x14ac:dyDescent="0.3">
      <c r="B1" s="333"/>
      <c r="F1" s="116" t="s">
        <v>0</v>
      </c>
      <c r="I1" s="115"/>
      <c r="J1" s="115"/>
      <c r="K1" s="115"/>
      <c r="L1" s="115"/>
      <c r="R1" s="132"/>
    </row>
    <row r="2" spans="2:18" s="74" customFormat="1" ht="18.75" x14ac:dyDescent="0.3">
      <c r="B2" s="333"/>
      <c r="F2" s="117" t="s">
        <v>260</v>
      </c>
      <c r="I2" s="115"/>
      <c r="J2" s="115"/>
      <c r="K2" s="115"/>
      <c r="L2" s="115"/>
      <c r="R2" s="132"/>
    </row>
    <row r="3" spans="2:18" s="74" customFormat="1" ht="18.75" x14ac:dyDescent="0.3">
      <c r="B3" s="333"/>
      <c r="F3" s="116" t="s">
        <v>146</v>
      </c>
      <c r="I3" s="115"/>
      <c r="J3" s="115"/>
      <c r="K3" s="115"/>
      <c r="L3" s="115"/>
      <c r="R3" s="132"/>
    </row>
    <row r="5" spans="2:18" x14ac:dyDescent="0.2">
      <c r="B5" s="334" t="s">
        <v>248</v>
      </c>
    </row>
    <row r="7" spans="2:18" x14ac:dyDescent="0.2">
      <c r="B7" s="334" t="s">
        <v>208</v>
      </c>
    </row>
    <row r="8" spans="2:18" x14ac:dyDescent="0.2">
      <c r="B8" s="334" t="s">
        <v>209</v>
      </c>
    </row>
    <row r="9" spans="2:18" x14ac:dyDescent="0.2">
      <c r="B9" s="334" t="s">
        <v>210</v>
      </c>
    </row>
    <row r="10" spans="2:18" x14ac:dyDescent="0.2">
      <c r="B10" s="334" t="s">
        <v>211</v>
      </c>
    </row>
    <row r="11" spans="2:18" x14ac:dyDescent="0.2">
      <c r="B11" s="334" t="s">
        <v>212</v>
      </c>
    </row>
    <row r="13" spans="2:18" x14ac:dyDescent="0.2">
      <c r="B13" s="334" t="s">
        <v>213</v>
      </c>
    </row>
    <row r="14" spans="2:18" x14ac:dyDescent="0.2">
      <c r="B14" s="334" t="s">
        <v>214</v>
      </c>
    </row>
    <row r="15" spans="2:18" x14ac:dyDescent="0.2">
      <c r="B15" s="334" t="s">
        <v>215</v>
      </c>
    </row>
    <row r="17" spans="2:2" x14ac:dyDescent="0.2">
      <c r="B17" s="334" t="s">
        <v>216</v>
      </c>
    </row>
    <row r="18" spans="2:2" x14ac:dyDescent="0.2">
      <c r="B18" s="334" t="s">
        <v>217</v>
      </c>
    </row>
    <row r="19" spans="2:2" x14ac:dyDescent="0.2">
      <c r="B19" s="334" t="s">
        <v>218</v>
      </c>
    </row>
    <row r="20" spans="2:2" x14ac:dyDescent="0.2">
      <c r="B20" s="334" t="s">
        <v>219</v>
      </c>
    </row>
    <row r="21" spans="2:2" x14ac:dyDescent="0.2">
      <c r="B21" s="334" t="s">
        <v>220</v>
      </c>
    </row>
    <row r="22" spans="2:2" x14ac:dyDescent="0.2">
      <c r="B22" s="334" t="s">
        <v>221</v>
      </c>
    </row>
    <row r="23" spans="2:2" x14ac:dyDescent="0.2">
      <c r="B23" s="334" t="s">
        <v>222</v>
      </c>
    </row>
    <row r="24" spans="2:2" x14ac:dyDescent="0.2">
      <c r="B24" s="334" t="s">
        <v>223</v>
      </c>
    </row>
  </sheetData>
  <phoneticPr fontId="69"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E56"/>
  <sheetViews>
    <sheetView zoomScale="80" workbookViewId="0">
      <pane xSplit="1" topLeftCell="B1" activePane="topRight" state="frozenSplit"/>
      <selection activeCell="E4" sqref="E4"/>
      <selection pane="topRight"/>
    </sheetView>
  </sheetViews>
  <sheetFormatPr defaultRowHeight="12.75" x14ac:dyDescent="0.2"/>
  <cols>
    <col min="1" max="1" width="4.5703125" style="129" customWidth="1"/>
    <col min="2" max="3" width="12" style="296" customWidth="1"/>
    <col min="4" max="5" width="10.7109375" style="296" customWidth="1"/>
    <col min="6" max="7" width="11.140625" style="74" customWidth="1"/>
    <col min="8" max="8" width="12.5703125" style="296" customWidth="1"/>
    <col min="9" max="9" width="10.28515625" style="74" customWidth="1"/>
    <col min="10" max="10" width="10.28515625" style="74" hidden="1" customWidth="1"/>
    <col min="11" max="12" width="13.42578125" style="74" hidden="1" customWidth="1"/>
    <col min="13" max="13" width="14.7109375" style="74" customWidth="1"/>
    <col min="14" max="14" width="10.5703125" style="74" customWidth="1"/>
    <col min="15" max="15" width="11" style="74" customWidth="1"/>
    <col min="16" max="17" width="11" style="74" hidden="1" customWidth="1"/>
    <col min="18" max="18" width="12.140625" style="74" hidden="1" customWidth="1"/>
    <col min="19" max="19" width="12" style="74" customWidth="1"/>
    <col min="20" max="20" width="11.28515625" style="74" customWidth="1"/>
    <col min="21" max="21" width="12.7109375" style="74" customWidth="1"/>
    <col min="22" max="22" width="6" style="74" customWidth="1"/>
    <col min="23" max="23" width="15.28515625" style="74" hidden="1" customWidth="1"/>
    <col min="24" max="24" width="16" style="74" customWidth="1"/>
    <col min="25" max="25" width="14.5703125" style="74" customWidth="1"/>
    <col min="26" max="26" width="14.42578125" style="74" customWidth="1"/>
    <col min="27" max="27" width="11.85546875" style="303" customWidth="1"/>
    <col min="28" max="28" width="9.140625" style="74"/>
    <col min="29" max="29" width="10" style="74" hidden="1" customWidth="1"/>
    <col min="30" max="30" width="9.85546875" style="74" bestFit="1" customWidth="1"/>
    <col min="31" max="16384" width="9.140625" style="74"/>
  </cols>
  <sheetData>
    <row r="1" spans="1:31" s="124" customFormat="1" ht="13.5" thickBot="1" x14ac:dyDescent="0.25">
      <c r="A1" s="139"/>
      <c r="B1" s="140"/>
      <c r="C1" s="140"/>
      <c r="D1" s="140"/>
      <c r="E1" s="140"/>
      <c r="H1" s="140"/>
      <c r="AA1" s="141"/>
    </row>
    <row r="2" spans="1:31" ht="5.25" customHeight="1" thickTop="1" x14ac:dyDescent="0.2">
      <c r="A2" s="142"/>
      <c r="B2" s="143"/>
      <c r="C2" s="143"/>
      <c r="D2" s="143"/>
      <c r="E2" s="143"/>
      <c r="F2" s="143"/>
      <c r="G2" s="143"/>
      <c r="H2" s="144"/>
      <c r="I2" s="144"/>
      <c r="J2" s="144"/>
      <c r="K2" s="144"/>
      <c r="L2" s="144"/>
      <c r="M2" s="144"/>
      <c r="N2" s="144"/>
      <c r="O2" s="144"/>
      <c r="P2" s="144"/>
      <c r="Q2" s="144"/>
      <c r="R2" s="144"/>
      <c r="S2" s="144"/>
      <c r="T2" s="144"/>
      <c r="U2" s="144"/>
      <c r="V2" s="144"/>
      <c r="W2" s="144"/>
      <c r="X2" s="145"/>
      <c r="Y2" s="146"/>
      <c r="Z2" s="144"/>
      <c r="AA2" s="145"/>
    </row>
    <row r="3" spans="1:31" ht="15.75" x14ac:dyDescent="0.25">
      <c r="A3" s="147"/>
      <c r="B3" s="69" t="s">
        <v>228</v>
      </c>
      <c r="C3" s="69"/>
      <c r="D3" s="148"/>
      <c r="E3" s="148"/>
      <c r="G3" s="149" t="s">
        <v>190</v>
      </c>
      <c r="H3" s="150" t="str">
        <f>'General Data'!A12&amp;"/"&amp;'General Data'!H12</f>
        <v>4/2015</v>
      </c>
      <c r="M3" s="151" t="s">
        <v>193</v>
      </c>
      <c r="N3" s="152">
        <f>N4-H4</f>
        <v>25</v>
      </c>
      <c r="R3" s="153"/>
      <c r="S3" s="149" t="s">
        <v>11</v>
      </c>
      <c r="T3" s="154">
        <f>'General Data'!H10</f>
        <v>2015</v>
      </c>
      <c r="V3" s="149" t="s">
        <v>12</v>
      </c>
      <c r="W3" s="149"/>
      <c r="X3" s="155" t="str">
        <f>IF('General Data'!$H$21=1,"Northeast",IF('General Data'!$H$21=2,"Midwest",IF('General Data'!$H$21=3,"South",IF('General Data'!$H$21=4,"West",IF('General Data'!$H$21=5,"United States Average","error")))))</f>
        <v>West</v>
      </c>
      <c r="Y3" s="156"/>
      <c r="Z3" s="157"/>
      <c r="AA3" s="155"/>
    </row>
    <row r="4" spans="1:31" ht="15.75" x14ac:dyDescent="0.25">
      <c r="A4" s="147"/>
      <c r="B4" s="69" t="s">
        <v>229</v>
      </c>
      <c r="C4" s="69"/>
      <c r="D4" s="148"/>
      <c r="E4" s="148"/>
      <c r="G4" s="158" t="s">
        <v>195</v>
      </c>
      <c r="H4" s="159">
        <f>'General Data'!H13-'General Data'!H12</f>
        <v>0</v>
      </c>
      <c r="M4" s="151" t="s">
        <v>194</v>
      </c>
      <c r="N4" s="160">
        <f>'General Data'!$H$18</f>
        <v>25</v>
      </c>
      <c r="R4" s="153"/>
      <c r="S4" s="151" t="s">
        <v>255</v>
      </c>
      <c r="T4" s="161">
        <f>'General Data'!H15</f>
        <v>0.03</v>
      </c>
      <c r="V4" s="149" t="s">
        <v>13</v>
      </c>
      <c r="W4" s="149"/>
      <c r="X4" s="155" t="str">
        <f>IF('General Data'!$H$24=1,"Residential",IF('General Data'!$H$24=2,"Commercial",IF('General Data'!$H$24=3,"Industrial","error")))</f>
        <v>Commercial</v>
      </c>
      <c r="Y4" s="156"/>
      <c r="Z4" s="157"/>
      <c r="AA4" s="155"/>
    </row>
    <row r="5" spans="1:31" ht="17.25" customHeight="1" thickBot="1" x14ac:dyDescent="0.25">
      <c r="A5" s="162"/>
      <c r="B5" s="163"/>
      <c r="C5" s="163"/>
      <c r="D5" s="163"/>
      <c r="E5" s="163"/>
      <c r="F5" s="163"/>
      <c r="G5" s="163"/>
      <c r="H5" s="163"/>
      <c r="I5" s="164"/>
      <c r="J5" s="164"/>
      <c r="K5" s="164"/>
      <c r="L5" s="164"/>
      <c r="M5" s="164"/>
      <c r="N5" s="164"/>
      <c r="O5" s="164"/>
      <c r="P5" s="164"/>
      <c r="Q5" s="164"/>
      <c r="R5" s="164"/>
      <c r="S5" s="350" t="s">
        <v>254</v>
      </c>
      <c r="T5" s="351">
        <f>'General Data'!H16</f>
        <v>0.03</v>
      </c>
      <c r="U5" s="164"/>
      <c r="V5" s="164"/>
      <c r="W5" s="164"/>
      <c r="X5" s="165"/>
      <c r="Y5" s="166"/>
      <c r="Z5" s="164"/>
      <c r="AA5" s="165"/>
    </row>
    <row r="6" spans="1:31" ht="5.25" customHeight="1" thickTop="1" x14ac:dyDescent="0.2">
      <c r="A6" s="167"/>
      <c r="B6" s="168"/>
      <c r="C6" s="168"/>
      <c r="D6" s="168"/>
      <c r="E6" s="168"/>
      <c r="F6" s="169"/>
      <c r="G6" s="170"/>
      <c r="H6" s="171"/>
      <c r="I6" s="172"/>
      <c r="J6" s="172"/>
      <c r="K6" s="172"/>
      <c r="L6" s="173"/>
      <c r="M6" s="174"/>
      <c r="N6" s="172"/>
      <c r="O6" s="172"/>
      <c r="P6" s="172"/>
      <c r="Q6" s="172"/>
      <c r="R6" s="173"/>
      <c r="S6" s="174"/>
      <c r="T6" s="172"/>
      <c r="U6" s="170"/>
      <c r="X6" s="174"/>
      <c r="Y6" s="175"/>
      <c r="Z6" s="124"/>
      <c r="AA6" s="174"/>
    </row>
    <row r="7" spans="1:31" x14ac:dyDescent="0.2">
      <c r="A7" s="176"/>
      <c r="B7" s="177" t="s">
        <v>14</v>
      </c>
      <c r="C7" s="177"/>
      <c r="D7" s="177"/>
      <c r="E7" s="177"/>
      <c r="F7" s="178"/>
      <c r="G7" s="179"/>
      <c r="H7" s="180" t="s">
        <v>15</v>
      </c>
      <c r="I7" s="181"/>
      <c r="J7" s="181"/>
      <c r="K7" s="181"/>
      <c r="L7" s="182"/>
      <c r="M7" s="183"/>
      <c r="N7" s="180" t="str">
        <f>IF('General Data'!$H$27=1,"NATURAL GAS COSTS",IF('General Data'!$H$27=2,"LPG FUEL COSTS",IF('General Data'!$H$27=3,"DISTILATE FUEL OIL COSTS",IF('General Data'!$H$27=4,"RESIDUAL FUEL OIL COSTS",IF('General Data'!$H$27=5,"COAL COSTS",IF('General Data'!$H$27=0,"NO 2ND FUEL USED","error?"))))))</f>
        <v>NATURAL GAS COSTS</v>
      </c>
      <c r="O7" s="181"/>
      <c r="P7" s="181"/>
      <c r="Q7" s="181"/>
      <c r="R7" s="182"/>
      <c r="S7" s="183"/>
      <c r="T7" s="180" t="s">
        <v>16</v>
      </c>
      <c r="U7" s="179"/>
      <c r="V7" s="180" t="s">
        <v>17</v>
      </c>
      <c r="W7" s="180"/>
      <c r="X7" s="183"/>
      <c r="Y7" s="184" t="s">
        <v>151</v>
      </c>
      <c r="Z7" s="177"/>
      <c r="AA7" s="185"/>
    </row>
    <row r="8" spans="1:31" x14ac:dyDescent="0.2">
      <c r="A8" s="176"/>
      <c r="B8" s="177"/>
      <c r="C8" s="177"/>
      <c r="D8" s="177"/>
      <c r="E8" s="177"/>
      <c r="F8" s="178"/>
      <c r="G8" s="179"/>
      <c r="H8" s="180" t="s">
        <v>18</v>
      </c>
      <c r="I8" s="181"/>
      <c r="J8" s="181"/>
      <c r="K8" s="181"/>
      <c r="L8" s="182"/>
      <c r="M8" s="183"/>
      <c r="N8" s="180" t="s">
        <v>18</v>
      </c>
      <c r="O8" s="181"/>
      <c r="P8" s="181"/>
      <c r="Q8" s="181"/>
      <c r="R8" s="182"/>
      <c r="S8" s="183"/>
      <c r="T8" s="180" t="s">
        <v>19</v>
      </c>
      <c r="U8" s="179"/>
      <c r="V8" s="180" t="s">
        <v>18</v>
      </c>
      <c r="W8" s="180"/>
      <c r="X8" s="186"/>
      <c r="Y8" s="187" t="s">
        <v>20</v>
      </c>
      <c r="Z8" s="188" t="s">
        <v>21</v>
      </c>
      <c r="AA8" s="189" t="s">
        <v>54</v>
      </c>
      <c r="AC8" s="190" t="s">
        <v>61</v>
      </c>
    </row>
    <row r="9" spans="1:31" ht="6" customHeight="1" x14ac:dyDescent="0.2">
      <c r="A9" s="176"/>
      <c r="B9" s="177"/>
      <c r="C9" s="177"/>
      <c r="D9" s="177"/>
      <c r="E9" s="177"/>
      <c r="F9" s="178"/>
      <c r="G9" s="179"/>
      <c r="H9" s="180"/>
      <c r="I9" s="181"/>
      <c r="J9" s="181"/>
      <c r="K9" s="181"/>
      <c r="L9" s="182"/>
      <c r="M9" s="183"/>
      <c r="N9" s="180"/>
      <c r="O9" s="181"/>
      <c r="P9" s="181"/>
      <c r="Q9" s="181"/>
      <c r="R9" s="182"/>
      <c r="S9" s="183"/>
      <c r="T9" s="180"/>
      <c r="U9" s="179"/>
      <c r="V9" s="180"/>
      <c r="W9" s="180"/>
      <c r="X9" s="183"/>
      <c r="Y9" s="191"/>
      <c r="Z9" s="192"/>
      <c r="AA9" s="183"/>
      <c r="AC9" s="190"/>
    </row>
    <row r="10" spans="1:31" s="198" customFormat="1" x14ac:dyDescent="0.2">
      <c r="A10" s="176"/>
      <c r="B10" s="153"/>
      <c r="C10" s="193" t="s">
        <v>22</v>
      </c>
      <c r="D10" s="193"/>
      <c r="E10" s="193"/>
      <c r="F10" s="188" t="s">
        <v>23</v>
      </c>
      <c r="G10" s="170"/>
      <c r="H10" s="194" t="s">
        <v>24</v>
      </c>
      <c r="I10" s="194" t="str">
        <f>'DOE Fuel Esc Rates'!H8</f>
        <v>Electric</v>
      </c>
      <c r="J10" s="194" t="str">
        <f>I10</f>
        <v>Electric</v>
      </c>
      <c r="K10" s="194" t="s">
        <v>25</v>
      </c>
      <c r="L10" s="173" t="s">
        <v>26</v>
      </c>
      <c r="M10" s="195" t="s">
        <v>26</v>
      </c>
      <c r="N10" s="194" t="s">
        <v>24</v>
      </c>
      <c r="O10" s="194" t="str">
        <f>'DOE Fuel Esc Rates'!$W$5</f>
        <v>Nat Gas</v>
      </c>
      <c r="P10" s="194" t="str">
        <f>O10</f>
        <v>Nat Gas</v>
      </c>
      <c r="Q10" s="194" t="s">
        <v>25</v>
      </c>
      <c r="R10" s="173" t="s">
        <v>26</v>
      </c>
      <c r="S10" s="195" t="s">
        <v>26</v>
      </c>
      <c r="T10" s="194" t="s">
        <v>24</v>
      </c>
      <c r="U10" s="195" t="s">
        <v>26</v>
      </c>
      <c r="V10" s="172"/>
      <c r="W10" s="194" t="s">
        <v>173</v>
      </c>
      <c r="X10" s="195" t="s">
        <v>26</v>
      </c>
      <c r="Y10" s="196" t="s">
        <v>26</v>
      </c>
      <c r="Z10" s="197" t="s">
        <v>26</v>
      </c>
      <c r="AA10" s="195"/>
      <c r="AB10" s="74"/>
      <c r="AC10" s="190" t="s">
        <v>173</v>
      </c>
    </row>
    <row r="11" spans="1:31" s="198" customFormat="1" x14ac:dyDescent="0.2">
      <c r="A11" s="176"/>
      <c r="B11" s="199"/>
      <c r="C11" s="200" t="s">
        <v>27</v>
      </c>
      <c r="D11" s="201"/>
      <c r="E11" s="201"/>
      <c r="F11" s="200" t="s">
        <v>28</v>
      </c>
      <c r="G11" s="179"/>
      <c r="H11" s="194" t="s">
        <v>29</v>
      </c>
      <c r="I11" s="194" t="s">
        <v>199</v>
      </c>
      <c r="J11" s="194" t="s">
        <v>200</v>
      </c>
      <c r="K11" s="173" t="s">
        <v>31</v>
      </c>
      <c r="L11" s="173" t="s">
        <v>31</v>
      </c>
      <c r="M11" s="195" t="s">
        <v>32</v>
      </c>
      <c r="N11" s="194" t="s">
        <v>29</v>
      </c>
      <c r="O11" s="194" t="s">
        <v>30</v>
      </c>
      <c r="P11" s="194" t="s">
        <v>200</v>
      </c>
      <c r="Q11" s="173" t="s">
        <v>31</v>
      </c>
      <c r="R11" s="173" t="s">
        <v>31</v>
      </c>
      <c r="S11" s="195" t="str">
        <f>O10</f>
        <v>Nat Gas</v>
      </c>
      <c r="T11" s="194" t="s">
        <v>29</v>
      </c>
      <c r="U11" s="202" t="s">
        <v>29</v>
      </c>
      <c r="V11" s="172"/>
      <c r="W11" s="203" t="s">
        <v>34</v>
      </c>
      <c r="X11" s="202" t="s">
        <v>34</v>
      </c>
      <c r="Y11" s="204" t="s">
        <v>152</v>
      </c>
      <c r="Z11" s="203" t="s">
        <v>152</v>
      </c>
      <c r="AA11" s="202" t="s">
        <v>26</v>
      </c>
      <c r="AC11" s="190" t="s">
        <v>182</v>
      </c>
    </row>
    <row r="12" spans="1:31" s="198" customFormat="1" x14ac:dyDescent="0.2">
      <c r="A12" s="176" t="s">
        <v>41</v>
      </c>
      <c r="B12" s="205" t="s">
        <v>35</v>
      </c>
      <c r="C12" s="206"/>
      <c r="D12" s="207" t="s">
        <v>26</v>
      </c>
      <c r="E12" s="205" t="s">
        <v>35</v>
      </c>
      <c r="F12" s="206"/>
      <c r="G12" s="208" t="s">
        <v>26</v>
      </c>
      <c r="H12" s="173" t="s">
        <v>32</v>
      </c>
      <c r="I12" s="194" t="s">
        <v>36</v>
      </c>
      <c r="J12" s="194" t="s">
        <v>36</v>
      </c>
      <c r="K12" s="173" t="s">
        <v>37</v>
      </c>
      <c r="L12" s="173" t="s">
        <v>38</v>
      </c>
      <c r="M12" s="209" t="s">
        <v>39</v>
      </c>
      <c r="N12" s="194" t="str">
        <f>O10</f>
        <v>Nat Gas</v>
      </c>
      <c r="O12" s="194" t="s">
        <v>36</v>
      </c>
      <c r="P12" s="194" t="s">
        <v>36</v>
      </c>
      <c r="Q12" s="173" t="s">
        <v>37</v>
      </c>
      <c r="R12" s="173" t="s">
        <v>38</v>
      </c>
      <c r="S12" s="209" t="s">
        <v>39</v>
      </c>
      <c r="T12" s="210" t="s">
        <v>40</v>
      </c>
      <c r="U12" s="179"/>
      <c r="V12" s="194" t="s">
        <v>41</v>
      </c>
      <c r="W12" s="203" t="s">
        <v>42</v>
      </c>
      <c r="X12" s="202" t="s">
        <v>42</v>
      </c>
      <c r="Y12" s="204" t="s">
        <v>42</v>
      </c>
      <c r="Z12" s="203" t="s">
        <v>43</v>
      </c>
      <c r="AA12" s="211" t="s">
        <v>54</v>
      </c>
      <c r="AC12" s="190" t="s">
        <v>42</v>
      </c>
    </row>
    <row r="13" spans="1:31" s="198" customFormat="1" x14ac:dyDescent="0.2">
      <c r="A13" s="176" t="s">
        <v>188</v>
      </c>
      <c r="B13" s="212" t="s">
        <v>44</v>
      </c>
      <c r="C13" s="213" t="s">
        <v>45</v>
      </c>
      <c r="D13" s="214" t="s">
        <v>46</v>
      </c>
      <c r="E13" s="212" t="s">
        <v>44</v>
      </c>
      <c r="F13" s="213" t="s">
        <v>45</v>
      </c>
      <c r="G13" s="211" t="s">
        <v>46</v>
      </c>
      <c r="H13" s="212" t="s">
        <v>45</v>
      </c>
      <c r="I13" s="215" t="s">
        <v>47</v>
      </c>
      <c r="J13" s="215" t="s">
        <v>47</v>
      </c>
      <c r="K13" s="216" t="s">
        <v>46</v>
      </c>
      <c r="L13" s="216" t="s">
        <v>46</v>
      </c>
      <c r="M13" s="211" t="s">
        <v>46</v>
      </c>
      <c r="N13" s="215" t="s">
        <v>45</v>
      </c>
      <c r="O13" s="215" t="s">
        <v>47</v>
      </c>
      <c r="P13" s="215" t="s">
        <v>47</v>
      </c>
      <c r="Q13" s="216" t="s">
        <v>46</v>
      </c>
      <c r="R13" s="216" t="s">
        <v>46</v>
      </c>
      <c r="S13" s="211" t="s">
        <v>46</v>
      </c>
      <c r="T13" s="215" t="s">
        <v>45</v>
      </c>
      <c r="U13" s="211" t="s">
        <v>46</v>
      </c>
      <c r="V13" s="194" t="s">
        <v>186</v>
      </c>
      <c r="W13" s="213" t="s">
        <v>174</v>
      </c>
      <c r="X13" s="211" t="s">
        <v>46</v>
      </c>
      <c r="Y13" s="217" t="s">
        <v>46</v>
      </c>
      <c r="Z13" s="218" t="s">
        <v>46</v>
      </c>
      <c r="AA13" s="219" t="s">
        <v>55</v>
      </c>
    </row>
    <row r="14" spans="1:31" ht="3.75" customHeight="1" x14ac:dyDescent="0.2">
      <c r="A14" s="220"/>
      <c r="B14" s="221"/>
      <c r="C14" s="222"/>
      <c r="D14" s="223"/>
      <c r="E14" s="221"/>
      <c r="F14" s="222"/>
      <c r="G14" s="224"/>
      <c r="H14" s="221"/>
      <c r="I14" s="129"/>
      <c r="J14" s="129"/>
      <c r="K14" s="129"/>
      <c r="L14" s="225"/>
      <c r="M14" s="174"/>
      <c r="N14" s="129"/>
      <c r="O14" s="129"/>
      <c r="P14" s="129"/>
      <c r="Q14" s="129"/>
      <c r="S14" s="174"/>
      <c r="U14" s="174"/>
      <c r="V14" s="129"/>
      <c r="W14" s="129"/>
      <c r="X14" s="174"/>
      <c r="Y14" s="175"/>
      <c r="Z14" s="124"/>
      <c r="AA14" s="174"/>
      <c r="AB14" s="198"/>
      <c r="AC14" s="198"/>
      <c r="AE14" s="198"/>
    </row>
    <row r="15" spans="1:31" x14ac:dyDescent="0.2">
      <c r="A15" s="226">
        <v>0</v>
      </c>
      <c r="B15" s="50" t="s">
        <v>48</v>
      </c>
      <c r="C15" s="50">
        <v>54300</v>
      </c>
      <c r="D15" s="227">
        <f>$C15/(1+disc)^$A15</f>
        <v>54300</v>
      </c>
      <c r="E15" s="228" t="s">
        <v>49</v>
      </c>
      <c r="F15" s="229" t="s">
        <v>49</v>
      </c>
      <c r="G15" s="230" t="s">
        <v>49</v>
      </c>
      <c r="H15" s="52">
        <v>656310</v>
      </c>
      <c r="I15" s="78" t="str">
        <f>IF('General Data'!$H$30="","",'General Data'!$H$30)</f>
        <v/>
      </c>
      <c r="J15" s="78"/>
      <c r="K15" s="231">
        <f>IF(A16=1,1,VLOOKUP(A16-1,'DOE Fuel Esc Rates'!T9:AB13,8,TRUE))</f>
        <v>1</v>
      </c>
      <c r="L15" s="232"/>
      <c r="M15" s="233"/>
      <c r="N15" s="53">
        <v>25320</v>
      </c>
      <c r="O15" s="78" t="str">
        <f>IF('General Data'!$H$31="","",'General Data'!$H$31)</f>
        <v/>
      </c>
      <c r="P15" s="78"/>
      <c r="Q15" s="234">
        <f>IF(A16=1,1,VLOOKUP(A16-1,'DOE Fuel Esc Rates'!T9:AB13,9,TRUE))</f>
        <v>1</v>
      </c>
      <c r="R15" s="232"/>
      <c r="S15" s="233"/>
      <c r="T15" s="53">
        <v>0</v>
      </c>
      <c r="U15" s="233"/>
      <c r="V15" s="235"/>
      <c r="W15" s="236">
        <f>+D15+M15+S15+U15</f>
        <v>54300</v>
      </c>
      <c r="X15" s="237">
        <f>+D15+M15+S15+U15</f>
        <v>54300</v>
      </c>
      <c r="Y15" s="238">
        <f>SUM(X$15:X15)</f>
        <v>54300</v>
      </c>
      <c r="Z15" s="236"/>
      <c r="AA15" s="237"/>
      <c r="AB15" s="198"/>
      <c r="AC15" s="198"/>
      <c r="AE15" s="198"/>
    </row>
    <row r="16" spans="1:31" x14ac:dyDescent="0.2">
      <c r="A16" s="239">
        <f>IF(ROW(A16)-ROW($A$15)+$H$4&lt;=$N$4,A15+1+$H$4,"")</f>
        <v>1</v>
      </c>
      <c r="B16" s="51"/>
      <c r="C16" s="51">
        <v>0</v>
      </c>
      <c r="D16" s="240">
        <f>IF($A16&lt;&gt;"",$C16/((1+$T$5)^$A16),"")</f>
        <v>0</v>
      </c>
      <c r="E16" s="51"/>
      <c r="F16" s="51">
        <v>0</v>
      </c>
      <c r="G16" s="241">
        <f t="shared" ref="G16:G40" si="0">IF($A16&lt;&gt;"",$F16/((1+disc)^$A16),"")</f>
        <v>0</v>
      </c>
      <c r="H16" s="242">
        <f>IF($A16&lt;=$N$4,H$15*'General Data'!$S8,"")</f>
        <v>656310</v>
      </c>
      <c r="I16" s="243">
        <f>IF(A16&lt;&gt;"",IF(I$15="",VLOOKUP(A16,'DOE Fuel Esc Rates'!$T$9:$W$38,3,TRUE),I$15),"")</f>
        <v>2.7786548784338283E-2</v>
      </c>
      <c r="J16" s="243">
        <f>((1+I16)*(1+'General Data'!$M$25))-1</f>
        <v>2.8814335333122498E-2</v>
      </c>
      <c r="K16" s="244">
        <f>IF(H16&lt;&gt;"",H16*(1+I16)*K15,"")</f>
        <v>674546.5898326491</v>
      </c>
      <c r="L16" s="244">
        <f t="shared" ref="L16:L40" si="1">IF(H16&lt;&gt;"",H16/(1+disc)^$A16,"")</f>
        <v>637194.17475728155</v>
      </c>
      <c r="M16" s="241">
        <f>IF(H16&lt;&gt;"",K16/(1+disc)^$A16,"")</f>
        <v>654899.60177927092</v>
      </c>
      <c r="N16" s="242">
        <f>IF($A16&lt;=$N$4,N$15*'General Data'!$S8,"")</f>
        <v>25320</v>
      </c>
      <c r="O16" s="243">
        <f>IF(A16&lt;&gt;"",IF(O$15="",VLOOKUP(A16,'DOE Fuel Esc Rates'!$T$9:$W$38,4,TRUE),O$15),"")</f>
        <v>1.2387387387387427E-2</v>
      </c>
      <c r="P16" s="243">
        <f>((1+O16)*(1+'General Data'!$M$25))-1</f>
        <v>1.339977477477472E-2</v>
      </c>
      <c r="Q16" s="244">
        <f>IF(N16&lt;&gt;"",N16*(1+O16)*Q15,"")</f>
        <v>25633.64864864865</v>
      </c>
      <c r="R16" s="244">
        <f t="shared" ref="R16:R40" si="2">IF(N16&lt;&gt;"",N16/(1+disc)^$A16,"")</f>
        <v>24582.524271844661</v>
      </c>
      <c r="S16" s="241">
        <f t="shared" ref="S16:S40" si="3">IF(N16&lt;&gt;"",Q16/((1+disc)^$A16),"")</f>
        <v>24887.037522959854</v>
      </c>
      <c r="T16" s="242">
        <f t="shared" ref="T16:T40" si="4">IF($A16&lt;=$N$4,T$15,"")</f>
        <v>0</v>
      </c>
      <c r="U16" s="245">
        <f t="shared" ref="U16:U40" si="5">IF(T16&lt;&gt;"",T16/(1+disc)^A16,"")</f>
        <v>0</v>
      </c>
      <c r="V16" s="246">
        <f>IF($A16&lt;=$N$4,VLOOKUP(A16,'DOE Fuel Esc Rates'!$T$9:$W$38,2,TRUE),"")</f>
        <v>2015</v>
      </c>
      <c r="W16" s="247">
        <f t="shared" ref="W16:W40" si="6">IF(A16&lt;&gt;"",SUM(C16,F16,K16,Q16,T16),"")</f>
        <v>700180.23848129774</v>
      </c>
      <c r="X16" s="241">
        <f t="shared" ref="X16:X40" si="7">IF(A16&lt;&gt;"",SUM(D16,G16,M16,S16,U16),"")</f>
        <v>679786.63930223079</v>
      </c>
      <c r="Y16" s="248">
        <f>IF(A16&lt;&gt;"",SUM(X$15:X16),"")</f>
        <v>734086.63930223079</v>
      </c>
      <c r="Z16" s="249" t="str">
        <f t="shared" ref="Z16:Z40" si="8">IF(A16&lt;&gt;"","n/a","")</f>
        <v>n/a</v>
      </c>
      <c r="AA16" s="250" t="str">
        <f t="shared" ref="AA16:AA40" si="9">IF(A16&lt;&gt;"","n/a","")</f>
        <v>n/a</v>
      </c>
      <c r="AB16" s="198"/>
      <c r="AC16" s="251">
        <f t="shared" ref="AC16:AC40" si="10">SUM(K16,Q16)</f>
        <v>700180.23848129774</v>
      </c>
      <c r="AD16" s="347"/>
      <c r="AE16" s="348"/>
    </row>
    <row r="17" spans="1:31" x14ac:dyDescent="0.2">
      <c r="A17" s="176">
        <f>IF(ROW(A17)-ROW($A$15)+$H$4&lt;=$N$4,A16+1,"")</f>
        <v>2</v>
      </c>
      <c r="B17" s="56"/>
      <c r="C17" s="51">
        <v>0</v>
      </c>
      <c r="D17" s="252">
        <f t="shared" ref="D17:D40" si="11">IF($A17&lt;&gt;"",$C17/((1+$T$5)^$A17),"")</f>
        <v>0</v>
      </c>
      <c r="E17" s="56"/>
      <c r="F17" s="51">
        <v>0</v>
      </c>
      <c r="G17" s="241">
        <f t="shared" si="0"/>
        <v>0</v>
      </c>
      <c r="H17" s="242">
        <f>IF($A17&lt;=$N$4,H$15*'General Data'!$S9,"")</f>
        <v>656310</v>
      </c>
      <c r="I17" s="243">
        <f>IF(A17&lt;&gt;"",IF(I$15="",VLOOKUP(A17,'DOE Fuel Esc Rates'!$T$9:$W$38,3,TRUE),I$15),"")</f>
        <v>1.3824884792626779E-2</v>
      </c>
      <c r="J17" s="243">
        <f>((1+I17)*(1+'General Data'!$M$25))-1</f>
        <v>1.4838709677419404E-2</v>
      </c>
      <c r="K17" s="253">
        <f t="shared" ref="K17:K40" si="12">IF(H17&lt;&gt;"",K16*(1+I17),"")</f>
        <v>683872.11872434476</v>
      </c>
      <c r="L17" s="253">
        <f t="shared" si="1"/>
        <v>618635.12112357432</v>
      </c>
      <c r="M17" s="241">
        <f t="shared" ref="M17:M40" si="13">IF(H17&lt;&gt;"",K17/(1+disc)^$A17,"")</f>
        <v>644615.06148020062</v>
      </c>
      <c r="N17" s="242">
        <f>IF($A17&lt;=$N$4,N$15*'General Data'!$S9,"")</f>
        <v>25320</v>
      </c>
      <c r="O17" s="243">
        <f>IF(A17&lt;&gt;"",IF(O$15="",VLOOKUP(A17,'DOE Fuel Esc Rates'!$T$9:$W$38,4,TRUE),O$15),"")</f>
        <v>1.1123470522802492E-3</v>
      </c>
      <c r="P17" s="243">
        <f>((1+O17)*(1+'General Data'!$M$25))-1</f>
        <v>2.1134593993323847E-3</v>
      </c>
      <c r="Q17" s="253">
        <f t="shared" ref="Q17:Q40" si="14">IF(N17&lt;&gt;"",Q16*(1+O17),"")</f>
        <v>25662.162162162163</v>
      </c>
      <c r="R17" s="253">
        <f t="shared" si="2"/>
        <v>23866.528419266662</v>
      </c>
      <c r="S17" s="241">
        <f t="shared" si="3"/>
        <v>24189.049073581078</v>
      </c>
      <c r="T17" s="242">
        <f t="shared" si="4"/>
        <v>0</v>
      </c>
      <c r="U17" s="245">
        <f t="shared" si="5"/>
        <v>0</v>
      </c>
      <c r="V17" s="246">
        <f>IF($A17&lt;=$N$4,VLOOKUP(A17,'DOE Fuel Esc Rates'!$T$9:$W$38,2,TRUE),"")</f>
        <v>2016</v>
      </c>
      <c r="W17" s="247">
        <f t="shared" si="6"/>
        <v>709534.28088650689</v>
      </c>
      <c r="X17" s="241">
        <f t="shared" si="7"/>
        <v>668804.11055378173</v>
      </c>
      <c r="Y17" s="248">
        <f>IF(A17&lt;&gt;"",SUM(X$15:X17),"")</f>
        <v>1402890.7498560124</v>
      </c>
      <c r="Z17" s="249" t="str">
        <f t="shared" si="8"/>
        <v>n/a</v>
      </c>
      <c r="AA17" s="250" t="str">
        <f t="shared" si="9"/>
        <v>n/a</v>
      </c>
      <c r="AB17" s="198"/>
      <c r="AC17" s="251">
        <f t="shared" si="10"/>
        <v>709534.28088650689</v>
      </c>
      <c r="AD17" s="348"/>
      <c r="AE17" s="347"/>
    </row>
    <row r="18" spans="1:31" x14ac:dyDescent="0.2">
      <c r="A18" s="176">
        <f t="shared" ref="A18:A40" si="15">IF(ROW(A18)-ROW($A$15)+$H$4&lt;=$N$4,A17+1,"")</f>
        <v>3</v>
      </c>
      <c r="B18" s="56"/>
      <c r="C18" s="51">
        <v>0</v>
      </c>
      <c r="D18" s="252">
        <f t="shared" si="11"/>
        <v>0</v>
      </c>
      <c r="E18" s="56"/>
      <c r="F18" s="51">
        <v>0</v>
      </c>
      <c r="G18" s="241">
        <f t="shared" si="0"/>
        <v>0</v>
      </c>
      <c r="H18" s="242">
        <f>IF($A18&lt;=$N$4,H$15*'General Data'!$S10,"")</f>
        <v>656310</v>
      </c>
      <c r="I18" s="243">
        <f>IF(A18&lt;&gt;"",IF(I$15="",VLOOKUP(A18,'DOE Fuel Esc Rates'!$T$9:$W$38,3,TRUE),I$15),"")</f>
        <v>-1.0606060606060619E-2</v>
      </c>
      <c r="J18" s="243">
        <f>((1+I18)*(1+'General Data'!$M$25))-1</f>
        <v>-9.6166666666668288E-3</v>
      </c>
      <c r="K18" s="253">
        <f t="shared" si="12"/>
        <v>676618.9295863593</v>
      </c>
      <c r="L18" s="253">
        <f t="shared" si="1"/>
        <v>600616.6224500722</v>
      </c>
      <c r="M18" s="241">
        <f t="shared" si="13"/>
        <v>619202.1699714195</v>
      </c>
      <c r="N18" s="242">
        <f>IF($A18&lt;=$N$4,N$15*'General Data'!$S10,"")</f>
        <v>25320</v>
      </c>
      <c r="O18" s="243">
        <f>IF(A18&lt;&gt;"",IF(O$15="",VLOOKUP(A18,'DOE Fuel Esc Rates'!$T$9:$W$38,4,TRUE),O$15),"")</f>
        <v>-1.1111111111110628E-3</v>
      </c>
      <c r="P18" s="243">
        <f>((1+O18)*(1+'General Data'!$M$25))-1</f>
        <v>-1.1222222222229128E-4</v>
      </c>
      <c r="Q18" s="253">
        <f t="shared" si="14"/>
        <v>25633.64864864865</v>
      </c>
      <c r="R18" s="253">
        <f t="shared" si="2"/>
        <v>23171.386814821999</v>
      </c>
      <c r="S18" s="241">
        <f t="shared" si="3"/>
        <v>23458.419759600201</v>
      </c>
      <c r="T18" s="242">
        <f t="shared" si="4"/>
        <v>0</v>
      </c>
      <c r="U18" s="245">
        <f t="shared" si="5"/>
        <v>0</v>
      </c>
      <c r="V18" s="246">
        <f>IF($A18&lt;=$N$4,VLOOKUP(A18,'DOE Fuel Esc Rates'!$T$9:$W$38,2,TRUE),"")</f>
        <v>2017</v>
      </c>
      <c r="W18" s="247">
        <f t="shared" si="6"/>
        <v>702252.57823500794</v>
      </c>
      <c r="X18" s="241">
        <f t="shared" si="7"/>
        <v>642660.58973101969</v>
      </c>
      <c r="Y18" s="248">
        <f>IF(A18&lt;&gt;"",SUM(X$15:X18),"")</f>
        <v>2045551.3395870321</v>
      </c>
      <c r="Z18" s="249" t="str">
        <f t="shared" si="8"/>
        <v>n/a</v>
      </c>
      <c r="AA18" s="250" t="str">
        <f t="shared" si="9"/>
        <v>n/a</v>
      </c>
      <c r="AB18" s="198"/>
      <c r="AC18" s="251">
        <f t="shared" si="10"/>
        <v>702252.57823500794</v>
      </c>
      <c r="AD18" s="348"/>
      <c r="AE18" s="348"/>
    </row>
    <row r="19" spans="1:31" x14ac:dyDescent="0.2">
      <c r="A19" s="176">
        <f t="shared" si="15"/>
        <v>4</v>
      </c>
      <c r="B19" s="56"/>
      <c r="C19" s="51">
        <v>0</v>
      </c>
      <c r="D19" s="252">
        <f t="shared" si="11"/>
        <v>0</v>
      </c>
      <c r="E19" s="56"/>
      <c r="F19" s="51">
        <v>0</v>
      </c>
      <c r="G19" s="241">
        <f t="shared" si="0"/>
        <v>0</v>
      </c>
      <c r="H19" s="242">
        <f>IF($A19&lt;=$N$4,H$15*'General Data'!$S11,"")</f>
        <v>656310</v>
      </c>
      <c r="I19" s="243">
        <f>IF(A19&lt;&gt;"",IF(I$15="",VLOOKUP(A19,'DOE Fuel Esc Rates'!$T$9:$W$38,3,TRUE),I$15),"")</f>
        <v>-7.9632465543644226E-3</v>
      </c>
      <c r="J19" s="243">
        <f>((1+I19)*(1+'General Data'!$M$25))-1</f>
        <v>-6.9712098009189205E-3</v>
      </c>
      <c r="K19" s="253">
        <f t="shared" si="12"/>
        <v>671230.84622671304</v>
      </c>
      <c r="L19" s="253">
        <f t="shared" si="1"/>
        <v>583122.9344175458</v>
      </c>
      <c r="M19" s="241">
        <f t="shared" si="13"/>
        <v>596379.91303392209</v>
      </c>
      <c r="N19" s="242">
        <f>IF($A19&lt;=$N$4,N$15*'General Data'!$S11,"")</f>
        <v>25320</v>
      </c>
      <c r="O19" s="243">
        <f>IF(A19&lt;&gt;"",IF(O$15="",VLOOKUP(A19,'DOE Fuel Esc Rates'!$T$9:$W$38,4,TRUE),O$15),"")</f>
        <v>3.6707452725250223E-2</v>
      </c>
      <c r="P19" s="243">
        <f>((1+O19)*(1+'General Data'!$M$25))-1</f>
        <v>3.7744160177975328E-2</v>
      </c>
      <c r="Q19" s="253">
        <f t="shared" si="14"/>
        <v>26574.594594594593</v>
      </c>
      <c r="R19" s="253">
        <f t="shared" si="2"/>
        <v>22496.492053225244</v>
      </c>
      <c r="S19" s="241">
        <f t="shared" si="3"/>
        <v>23611.183100907576</v>
      </c>
      <c r="T19" s="242">
        <f t="shared" si="4"/>
        <v>0</v>
      </c>
      <c r="U19" s="245">
        <f t="shared" si="5"/>
        <v>0</v>
      </c>
      <c r="V19" s="246">
        <f>IF($A19&lt;=$N$4,VLOOKUP(A19,'DOE Fuel Esc Rates'!$T$9:$W$38,2,TRUE),"")</f>
        <v>2018</v>
      </c>
      <c r="W19" s="247">
        <f t="shared" si="6"/>
        <v>697805.44082130759</v>
      </c>
      <c r="X19" s="241">
        <f t="shared" si="7"/>
        <v>619991.09613482968</v>
      </c>
      <c r="Y19" s="248">
        <f>IF(A19&lt;&gt;"",SUM(X$15:X19),"")</f>
        <v>2665542.4357218617</v>
      </c>
      <c r="Z19" s="249" t="str">
        <f t="shared" si="8"/>
        <v>n/a</v>
      </c>
      <c r="AA19" s="250" t="str">
        <f t="shared" si="9"/>
        <v>n/a</v>
      </c>
      <c r="AB19" s="198"/>
      <c r="AC19" s="251">
        <f t="shared" si="10"/>
        <v>697805.44082130759</v>
      </c>
      <c r="AD19" s="348"/>
      <c r="AE19" s="348"/>
    </row>
    <row r="20" spans="1:31" x14ac:dyDescent="0.2">
      <c r="A20" s="176">
        <f t="shared" si="15"/>
        <v>5</v>
      </c>
      <c r="B20" s="56"/>
      <c r="C20" s="51">
        <v>0</v>
      </c>
      <c r="D20" s="252">
        <f t="shared" si="11"/>
        <v>0</v>
      </c>
      <c r="E20" s="56"/>
      <c r="F20" s="51">
        <v>0</v>
      </c>
      <c r="G20" s="241">
        <f t="shared" si="0"/>
        <v>0</v>
      </c>
      <c r="H20" s="242">
        <f>IF($A20&lt;=$N$4,H$15*'General Data'!$S12,"")</f>
        <v>656310</v>
      </c>
      <c r="I20" s="243">
        <f>IF(A20&lt;&gt;"",IF(I$15="",VLOOKUP(A20,'DOE Fuel Esc Rates'!$T$9:$W$38,3,TRUE),I$15),"")</f>
        <v>6.1747452917559897E-4</v>
      </c>
      <c r="J20" s="243">
        <f>((1+I20)*(1+'General Data'!$M$25))-1</f>
        <v>1.6180920037047741E-3</v>
      </c>
      <c r="K20" s="253">
        <f t="shared" si="12"/>
        <v>671645.31417745503</v>
      </c>
      <c r="L20" s="253">
        <f t="shared" si="1"/>
        <v>566138.77127917076</v>
      </c>
      <c r="M20" s="241">
        <f t="shared" si="13"/>
        <v>579367.1479999345</v>
      </c>
      <c r="N20" s="242">
        <f>IF($A20&lt;=$N$4,N$15*'General Data'!$S12,"")</f>
        <v>25320</v>
      </c>
      <c r="O20" s="243">
        <f>IF(A20&lt;&gt;"",IF(O$15="",VLOOKUP(A20,'DOE Fuel Esc Rates'!$T$9:$W$38,4,TRUE),O$15),"")</f>
        <v>4.7210300429184393E-2</v>
      </c>
      <c r="P20" s="243">
        <f>((1+O20)*(1+'General Data'!$M$25))-1</f>
        <v>4.8257510729613484E-2</v>
      </c>
      <c r="Q20" s="253">
        <f t="shared" si="14"/>
        <v>27829.189189189183</v>
      </c>
      <c r="R20" s="253">
        <f t="shared" si="2"/>
        <v>21841.254420607034</v>
      </c>
      <c r="S20" s="241">
        <f t="shared" si="3"/>
        <v>24005.703056883402</v>
      </c>
      <c r="T20" s="242">
        <f t="shared" si="4"/>
        <v>0</v>
      </c>
      <c r="U20" s="245">
        <f t="shared" si="5"/>
        <v>0</v>
      </c>
      <c r="V20" s="246">
        <f>IF($A20&lt;=$N$4,VLOOKUP(A20,'DOE Fuel Esc Rates'!$T$9:$W$38,2,TRUE),"")</f>
        <v>2019</v>
      </c>
      <c r="W20" s="247">
        <f t="shared" si="6"/>
        <v>699474.50336664426</v>
      </c>
      <c r="X20" s="241">
        <f t="shared" si="7"/>
        <v>603372.85105681792</v>
      </c>
      <c r="Y20" s="248">
        <f>IF(A20&lt;&gt;"",SUM(X$15:X20),"")</f>
        <v>3268915.2867786796</v>
      </c>
      <c r="Z20" s="249" t="str">
        <f t="shared" si="8"/>
        <v>n/a</v>
      </c>
      <c r="AA20" s="250" t="str">
        <f t="shared" si="9"/>
        <v>n/a</v>
      </c>
      <c r="AB20" s="198"/>
      <c r="AC20" s="251">
        <f t="shared" si="10"/>
        <v>699474.50336664426</v>
      </c>
      <c r="AD20" s="348"/>
      <c r="AE20" s="348"/>
    </row>
    <row r="21" spans="1:31" x14ac:dyDescent="0.2">
      <c r="A21" s="176">
        <f t="shared" si="15"/>
        <v>6</v>
      </c>
      <c r="B21" s="56"/>
      <c r="C21" s="51">
        <v>0</v>
      </c>
      <c r="D21" s="252">
        <f t="shared" si="11"/>
        <v>0</v>
      </c>
      <c r="E21" s="56"/>
      <c r="F21" s="51">
        <v>0</v>
      </c>
      <c r="G21" s="241">
        <f t="shared" si="0"/>
        <v>0</v>
      </c>
      <c r="H21" s="242">
        <f>IF($A21&lt;=$N$4,H$15*'General Data'!$S13,"")</f>
        <v>656310</v>
      </c>
      <c r="I21" s="243">
        <f>IF(A21&lt;&gt;"",IF(I$15="",VLOOKUP(A21,'DOE Fuel Esc Rates'!$T$9:$W$38,3,TRUE),I$15),"")</f>
        <v>3.7025609379821578E-3</v>
      </c>
      <c r="J21" s="243">
        <f>((1+I21)*(1+'General Data'!$M$25))-1</f>
        <v>4.7062634989201158E-3</v>
      </c>
      <c r="K21" s="253">
        <f t="shared" si="12"/>
        <v>674132.12188190722</v>
      </c>
      <c r="L21" s="253">
        <f t="shared" si="1"/>
        <v>549649.29250404926</v>
      </c>
      <c r="M21" s="241">
        <f t="shared" si="13"/>
        <v>564575.03900084377</v>
      </c>
      <c r="N21" s="242">
        <f>IF($A21&lt;=$N$4,N$15*'General Data'!$S13,"")</f>
        <v>25320</v>
      </c>
      <c r="O21" s="243">
        <f>IF(A21&lt;&gt;"",IF(O$15="",VLOOKUP(A21,'DOE Fuel Esc Rates'!$T$9:$W$38,4,TRUE),O$15),"")</f>
        <v>3.5860655737704805E-2</v>
      </c>
      <c r="P21" s="243">
        <f>((1+O21)*(1+'General Data'!$M$25))-1</f>
        <v>3.6896516393442491E-2</v>
      </c>
      <c r="Q21" s="253">
        <f t="shared" si="14"/>
        <v>28827.162162162153</v>
      </c>
      <c r="R21" s="253">
        <f t="shared" si="2"/>
        <v>21205.101379230131</v>
      </c>
      <c r="S21" s="241">
        <f t="shared" si="3"/>
        <v>24142.29447567754</v>
      </c>
      <c r="T21" s="242">
        <f t="shared" si="4"/>
        <v>0</v>
      </c>
      <c r="U21" s="245">
        <f t="shared" si="5"/>
        <v>0</v>
      </c>
      <c r="V21" s="246">
        <f>IF($A21&lt;=$N$4,VLOOKUP(A21,'DOE Fuel Esc Rates'!$T$9:$W$38,2,TRUE),"")</f>
        <v>2020</v>
      </c>
      <c r="W21" s="247">
        <f t="shared" si="6"/>
        <v>702959.28404406935</v>
      </c>
      <c r="X21" s="241">
        <f t="shared" si="7"/>
        <v>588717.33347652131</v>
      </c>
      <c r="Y21" s="248">
        <f>IF(A21&lt;&gt;"",SUM(X$15:X21),"")</f>
        <v>3857632.6202552011</v>
      </c>
      <c r="Z21" s="249" t="str">
        <f t="shared" si="8"/>
        <v>n/a</v>
      </c>
      <c r="AA21" s="250" t="str">
        <f t="shared" si="9"/>
        <v>n/a</v>
      </c>
      <c r="AB21" s="198"/>
      <c r="AC21" s="251">
        <f t="shared" si="10"/>
        <v>702959.28404406935</v>
      </c>
      <c r="AD21" s="348"/>
      <c r="AE21" s="348"/>
    </row>
    <row r="22" spans="1:31" x14ac:dyDescent="0.2">
      <c r="A22" s="176">
        <f t="shared" si="15"/>
        <v>7</v>
      </c>
      <c r="B22" s="56"/>
      <c r="C22" s="51">
        <v>0</v>
      </c>
      <c r="D22" s="252">
        <f t="shared" si="11"/>
        <v>0</v>
      </c>
      <c r="E22" s="56"/>
      <c r="F22" s="51">
        <v>0</v>
      </c>
      <c r="G22" s="241">
        <f t="shared" si="0"/>
        <v>0</v>
      </c>
      <c r="H22" s="242">
        <f>IF($A22&lt;=$N$4,H$15*'General Data'!$S14,"")</f>
        <v>656310</v>
      </c>
      <c r="I22" s="243">
        <f>IF(A22&lt;&gt;"",IF(I$15="",VLOOKUP(A22,'DOE Fuel Esc Rates'!$T$9:$W$38,3,TRUE),I$15),"")</f>
        <v>1.8444512757456177E-3</v>
      </c>
      <c r="J22" s="243">
        <f>((1+I22)*(1+'General Data'!$M$25))-1</f>
        <v>2.8462957270212197E-3</v>
      </c>
      <c r="K22" s="253">
        <f t="shared" si="12"/>
        <v>675375.52573413344</v>
      </c>
      <c r="L22" s="253">
        <f t="shared" si="1"/>
        <v>533640.08980975649</v>
      </c>
      <c r="M22" s="241">
        <f t="shared" si="13"/>
        <v>549142.10694347869</v>
      </c>
      <c r="N22" s="242">
        <f>IF($A22&lt;=$N$4,N$15*'General Data'!$S14,"")</f>
        <v>25320</v>
      </c>
      <c r="O22" s="243">
        <f>IF(A22&lt;&gt;"",IF(O$15="",VLOOKUP(A22,'DOE Fuel Esc Rates'!$T$9:$W$38,4,TRUE),O$15),"")</f>
        <v>2.0771513353115889E-2</v>
      </c>
      <c r="P22" s="243">
        <f>((1+O22)*(1+'General Data'!$M$25))-1</f>
        <v>2.1792284866468892E-2</v>
      </c>
      <c r="Q22" s="253">
        <f t="shared" si="14"/>
        <v>29425.945945945939</v>
      </c>
      <c r="R22" s="253">
        <f t="shared" si="2"/>
        <v>20587.477067213717</v>
      </c>
      <c r="S22" s="241">
        <f t="shared" si="3"/>
        <v>23925.986861897018</v>
      </c>
      <c r="T22" s="242">
        <f t="shared" si="4"/>
        <v>0</v>
      </c>
      <c r="U22" s="245">
        <f t="shared" si="5"/>
        <v>0</v>
      </c>
      <c r="V22" s="246">
        <f>IF($A22&lt;=$N$4,VLOOKUP(A22,'DOE Fuel Esc Rates'!$T$9:$W$38,2,TRUE),"")</f>
        <v>2021</v>
      </c>
      <c r="W22" s="247">
        <f t="shared" si="6"/>
        <v>704801.47168007935</v>
      </c>
      <c r="X22" s="241">
        <f t="shared" si="7"/>
        <v>573068.09380537574</v>
      </c>
      <c r="Y22" s="248">
        <f>IF(A22&lt;&gt;"",SUM(X$15:X22),"")</f>
        <v>4430700.7140605766</v>
      </c>
      <c r="Z22" s="249" t="str">
        <f t="shared" si="8"/>
        <v>n/a</v>
      </c>
      <c r="AA22" s="250" t="str">
        <f t="shared" si="9"/>
        <v>n/a</v>
      </c>
      <c r="AB22" s="198"/>
      <c r="AC22" s="251">
        <f t="shared" si="10"/>
        <v>704801.47168007935</v>
      </c>
      <c r="AD22" s="348"/>
      <c r="AE22" s="348"/>
    </row>
    <row r="23" spans="1:31" x14ac:dyDescent="0.2">
      <c r="A23" s="176">
        <f t="shared" si="15"/>
        <v>8</v>
      </c>
      <c r="B23" s="56"/>
      <c r="C23" s="51">
        <v>0</v>
      </c>
      <c r="D23" s="252">
        <f t="shared" si="11"/>
        <v>0</v>
      </c>
      <c r="E23" s="56" t="s">
        <v>50</v>
      </c>
      <c r="F23" s="51">
        <v>0</v>
      </c>
      <c r="G23" s="241">
        <f t="shared" si="0"/>
        <v>0</v>
      </c>
      <c r="H23" s="242">
        <f>IF($A23&lt;=$N$4,H$15*'General Data'!$S15,"")</f>
        <v>656310</v>
      </c>
      <c r="I23" s="243">
        <f>IF(A23&lt;&gt;"",IF(I$15="",VLOOKUP(A23,'DOE Fuel Esc Rates'!$T$9:$W$38,3,TRUE),I$15),"")</f>
        <v>-2.1478981282602172E-3</v>
      </c>
      <c r="J23" s="243">
        <f>((1+I23)*(1+'General Data'!$M$25))-1</f>
        <v>-1.1500460263885737E-3</v>
      </c>
      <c r="K23" s="253">
        <f t="shared" si="12"/>
        <v>673924.88790653634</v>
      </c>
      <c r="L23" s="253">
        <f t="shared" si="1"/>
        <v>518097.17457257921</v>
      </c>
      <c r="M23" s="241">
        <f t="shared" si="13"/>
        <v>532002.52974740381</v>
      </c>
      <c r="N23" s="242">
        <f>IF($A23&lt;=$N$4,N$15*'General Data'!$S15,"")</f>
        <v>25320</v>
      </c>
      <c r="O23" s="243">
        <f>IF(A23&lt;&gt;"",IF(O$15="",VLOOKUP(A23,'DOE Fuel Esc Rates'!$T$9:$W$38,4,TRUE),O$15),"")</f>
        <v>1.744186046511631E-2</v>
      </c>
      <c r="P23" s="243">
        <f>((1+O23)*(1+'General Data'!$M$25))-1</f>
        <v>1.8459302325581239E-2</v>
      </c>
      <c r="Q23" s="253">
        <f t="shared" si="14"/>
        <v>29939.189189189183</v>
      </c>
      <c r="R23" s="253">
        <f t="shared" si="2"/>
        <v>19987.841812828854</v>
      </c>
      <c r="S23" s="241">
        <f t="shared" si="3"/>
        <v>23634.272413817896</v>
      </c>
      <c r="T23" s="242">
        <f t="shared" si="4"/>
        <v>0</v>
      </c>
      <c r="U23" s="245">
        <f t="shared" si="5"/>
        <v>0</v>
      </c>
      <c r="V23" s="246">
        <f>IF($A23&lt;=$N$4,VLOOKUP(A23,'DOE Fuel Esc Rates'!$T$9:$W$38,2,TRUE),"")</f>
        <v>2022</v>
      </c>
      <c r="W23" s="247">
        <f t="shared" si="6"/>
        <v>703864.07709572557</v>
      </c>
      <c r="X23" s="241">
        <f t="shared" si="7"/>
        <v>555636.80216122174</v>
      </c>
      <c r="Y23" s="248">
        <f>IF(A23&lt;&gt;"",SUM(X$15:X23),"")</f>
        <v>4986337.516221798</v>
      </c>
      <c r="Z23" s="249" t="str">
        <f t="shared" si="8"/>
        <v>n/a</v>
      </c>
      <c r="AA23" s="250" t="str">
        <f t="shared" si="9"/>
        <v>n/a</v>
      </c>
      <c r="AB23" s="198"/>
      <c r="AC23" s="251">
        <f t="shared" si="10"/>
        <v>703864.07709572557</v>
      </c>
      <c r="AD23" s="348"/>
      <c r="AE23" s="348"/>
    </row>
    <row r="24" spans="1:31" x14ac:dyDescent="0.2">
      <c r="A24" s="176">
        <f t="shared" si="15"/>
        <v>9</v>
      </c>
      <c r="B24" s="56"/>
      <c r="C24" s="51">
        <v>0</v>
      </c>
      <c r="D24" s="252">
        <f t="shared" si="11"/>
        <v>0</v>
      </c>
      <c r="E24" s="56"/>
      <c r="F24" s="51">
        <v>0</v>
      </c>
      <c r="G24" s="241">
        <f t="shared" si="0"/>
        <v>0</v>
      </c>
      <c r="H24" s="242">
        <f>IF($A24&lt;=$N$4,H$15*'General Data'!$S16,"")</f>
        <v>656310</v>
      </c>
      <c r="I24" s="243">
        <f>IF(A24&lt;&gt;"",IF(I$15="",VLOOKUP(A24,'DOE Fuel Esc Rates'!$T$9:$W$38,3,TRUE),I$15),"")</f>
        <v>-2.4600246002461912E-3</v>
      </c>
      <c r="J24" s="243">
        <f>((1+I24)*(1+'General Data'!$M$25))-1</f>
        <v>-1.4624846248465495E-3</v>
      </c>
      <c r="K24" s="253">
        <f t="shared" si="12"/>
        <v>672267.01610356814</v>
      </c>
      <c r="L24" s="253">
        <f t="shared" si="1"/>
        <v>503006.96560444578</v>
      </c>
      <c r="M24" s="241">
        <f t="shared" si="13"/>
        <v>515236.68974449713</v>
      </c>
      <c r="N24" s="242">
        <f>IF($A24&lt;=$N$4,N$15*'General Data'!$S16,"")</f>
        <v>25320</v>
      </c>
      <c r="O24" s="243">
        <f>IF(A24&lt;&gt;"",IF(O$15="",VLOOKUP(A24,'DOE Fuel Esc Rates'!$T$9:$W$38,4,TRUE),O$15),"")</f>
        <v>1.0476190476190528E-2</v>
      </c>
      <c r="P24" s="243">
        <f>((1+O24)*(1+'General Data'!$M$25))-1</f>
        <v>1.1486666666666645E-2</v>
      </c>
      <c r="Q24" s="253">
        <f t="shared" si="14"/>
        <v>30252.837837837833</v>
      </c>
      <c r="R24" s="253">
        <f t="shared" si="2"/>
        <v>19405.671662940633</v>
      </c>
      <c r="S24" s="241">
        <f t="shared" si="3"/>
        <v>23186.28111979731</v>
      </c>
      <c r="T24" s="242">
        <f t="shared" si="4"/>
        <v>0</v>
      </c>
      <c r="U24" s="245">
        <f t="shared" si="5"/>
        <v>0</v>
      </c>
      <c r="V24" s="246">
        <f>IF($A24&lt;=$N$4,VLOOKUP(A24,'DOE Fuel Esc Rates'!$T$9:$W$38,2,TRUE),"")</f>
        <v>2023</v>
      </c>
      <c r="W24" s="247">
        <f t="shared" si="6"/>
        <v>702519.85394140601</v>
      </c>
      <c r="X24" s="241">
        <f t="shared" si="7"/>
        <v>538422.97086429445</v>
      </c>
      <c r="Y24" s="248">
        <f>IF(A24&lt;&gt;"",SUM(X$15:X24),"")</f>
        <v>5524760.4870860921</v>
      </c>
      <c r="Z24" s="249" t="str">
        <f t="shared" si="8"/>
        <v>n/a</v>
      </c>
      <c r="AA24" s="250" t="str">
        <f t="shared" si="9"/>
        <v>n/a</v>
      </c>
      <c r="AB24" s="198"/>
      <c r="AC24" s="251">
        <f t="shared" si="10"/>
        <v>702519.85394140601</v>
      </c>
      <c r="AD24" s="348"/>
      <c r="AE24" s="348"/>
    </row>
    <row r="25" spans="1:31" x14ac:dyDescent="0.2">
      <c r="A25" s="176">
        <f t="shared" si="15"/>
        <v>10</v>
      </c>
      <c r="B25" s="56"/>
      <c r="C25" s="51">
        <v>0</v>
      </c>
      <c r="D25" s="252">
        <f t="shared" si="11"/>
        <v>0</v>
      </c>
      <c r="E25" s="56"/>
      <c r="F25" s="51">
        <v>0</v>
      </c>
      <c r="G25" s="241">
        <f t="shared" si="0"/>
        <v>0</v>
      </c>
      <c r="H25" s="242">
        <f>IF($A25&lt;=$N$4,H$15*'General Data'!$S17,"")</f>
        <v>656310</v>
      </c>
      <c r="I25" s="243">
        <f>IF(A25&lt;&gt;"",IF(I$15="",VLOOKUP(A25,'DOE Fuel Esc Rates'!$T$9:$W$38,3,TRUE),I$15),"")</f>
        <v>2.1578298397040285E-3</v>
      </c>
      <c r="J25" s="243">
        <f>((1+I25)*(1+'General Data'!$M$25))-1</f>
        <v>3.159987669543618E-3</v>
      </c>
      <c r="K25" s="253">
        <f t="shared" si="12"/>
        <v>673717.65393116523</v>
      </c>
      <c r="L25" s="253">
        <f t="shared" si="1"/>
        <v>488356.2772858697</v>
      </c>
      <c r="M25" s="241">
        <f t="shared" si="13"/>
        <v>501309.20664867782</v>
      </c>
      <c r="N25" s="242">
        <f>IF($A25&lt;=$N$4,N$15*'General Data'!$S17,"")</f>
        <v>25320</v>
      </c>
      <c r="O25" s="243">
        <f>IF(A25&lt;&gt;"",IF(O$15="",VLOOKUP(A25,'DOE Fuel Esc Rates'!$T$9:$W$38,4,TRUE),O$15),"")</f>
        <v>1.6965127238454336E-2</v>
      </c>
      <c r="P25" s="243">
        <f>((1+O25)*(1+'General Data'!$M$25))-1</f>
        <v>1.7982092365692592E-2</v>
      </c>
      <c r="Q25" s="253">
        <f t="shared" si="14"/>
        <v>30766.081081081076</v>
      </c>
      <c r="R25" s="253">
        <f t="shared" si="2"/>
        <v>18840.457925185081</v>
      </c>
      <c r="S25" s="241">
        <f t="shared" si="3"/>
        <v>22892.853717651691</v>
      </c>
      <c r="T25" s="242">
        <f t="shared" si="4"/>
        <v>0</v>
      </c>
      <c r="U25" s="245">
        <f t="shared" si="5"/>
        <v>0</v>
      </c>
      <c r="V25" s="246">
        <f>IF($A25&lt;=$N$4,VLOOKUP(A25,'DOE Fuel Esc Rates'!$T$9:$W$38,2,TRUE),"")</f>
        <v>2024</v>
      </c>
      <c r="W25" s="247">
        <f t="shared" si="6"/>
        <v>704483.7350122463</v>
      </c>
      <c r="X25" s="241">
        <f t="shared" si="7"/>
        <v>524202.0603663295</v>
      </c>
      <c r="Y25" s="248">
        <f>IF(A25&lt;&gt;"",SUM(X$15:X25),"")</f>
        <v>6048962.5474524219</v>
      </c>
      <c r="Z25" s="249" t="str">
        <f t="shared" si="8"/>
        <v>n/a</v>
      </c>
      <c r="AA25" s="250" t="str">
        <f t="shared" si="9"/>
        <v>n/a</v>
      </c>
      <c r="AB25" s="198"/>
      <c r="AC25" s="251">
        <f t="shared" si="10"/>
        <v>704483.7350122463</v>
      </c>
      <c r="AD25" s="348"/>
      <c r="AE25" s="348"/>
    </row>
    <row r="26" spans="1:31" x14ac:dyDescent="0.2">
      <c r="A26" s="176">
        <f t="shared" si="15"/>
        <v>11</v>
      </c>
      <c r="B26" s="56"/>
      <c r="C26" s="51">
        <v>0</v>
      </c>
      <c r="D26" s="252">
        <f t="shared" si="11"/>
        <v>0</v>
      </c>
      <c r="E26" s="56"/>
      <c r="F26" s="51">
        <v>0</v>
      </c>
      <c r="G26" s="241">
        <f t="shared" si="0"/>
        <v>0</v>
      </c>
      <c r="H26" s="242">
        <f>IF($A26&lt;=$N$4,H$15*'General Data'!$S18,"")</f>
        <v>656310</v>
      </c>
      <c r="I26" s="243">
        <f>IF(A26&lt;&gt;"",IF(I$15="",VLOOKUP(A26,'DOE Fuel Esc Rates'!$T$9:$W$38,3,TRUE),I$15),"")</f>
        <v>3.9987696093510827E-3</v>
      </c>
      <c r="J26" s="243">
        <f>((1+I26)*(1+'General Data'!$M$25))-1</f>
        <v>5.0027683789604094E-3</v>
      </c>
      <c r="K26" s="253">
        <f t="shared" si="12"/>
        <v>676411.69561098854</v>
      </c>
      <c r="L26" s="253">
        <f t="shared" si="1"/>
        <v>474132.30804453371</v>
      </c>
      <c r="M26" s="241">
        <f t="shared" si="13"/>
        <v>488654.20064962376</v>
      </c>
      <c r="N26" s="242">
        <f>IF($A26&lt;=$N$4,N$15*'General Data'!$S18,"")</f>
        <v>25320</v>
      </c>
      <c r="O26" s="243">
        <f>IF(A26&lt;&gt;"",IF(O$15="",VLOOKUP(A26,'DOE Fuel Esc Rates'!$T$9:$W$38,4,TRUE),O$15),"")</f>
        <v>2.1316033364226161E-2</v>
      </c>
      <c r="P26" s="243">
        <f>((1+O26)*(1+'General Data'!$M$25))-1</f>
        <v>2.2337349397590245E-2</v>
      </c>
      <c r="Q26" s="253">
        <f t="shared" si="14"/>
        <v>31421.891891891886</v>
      </c>
      <c r="R26" s="253">
        <f t="shared" si="2"/>
        <v>18291.70672348066</v>
      </c>
      <c r="S26" s="241">
        <f t="shared" si="3"/>
        <v>22699.843253688836</v>
      </c>
      <c r="T26" s="242">
        <f t="shared" si="4"/>
        <v>0</v>
      </c>
      <c r="U26" s="245">
        <f t="shared" si="5"/>
        <v>0</v>
      </c>
      <c r="V26" s="246">
        <f>IF($A26&lt;=$N$4,VLOOKUP(A26,'DOE Fuel Esc Rates'!$T$9:$W$38,2,TRUE),"")</f>
        <v>2025</v>
      </c>
      <c r="W26" s="247">
        <f t="shared" si="6"/>
        <v>707833.58750288037</v>
      </c>
      <c r="X26" s="241">
        <f t="shared" si="7"/>
        <v>511354.04390331259</v>
      </c>
      <c r="Y26" s="248">
        <f>IF(A26&lt;&gt;"",SUM(X$15:X26),"")</f>
        <v>6560316.5913557345</v>
      </c>
      <c r="Z26" s="249" t="str">
        <f t="shared" si="8"/>
        <v>n/a</v>
      </c>
      <c r="AA26" s="250" t="str">
        <f t="shared" si="9"/>
        <v>n/a</v>
      </c>
      <c r="AB26" s="198"/>
      <c r="AC26" s="251">
        <f t="shared" si="10"/>
        <v>707833.58750288037</v>
      </c>
      <c r="AD26" s="348"/>
      <c r="AE26" s="348"/>
    </row>
    <row r="27" spans="1:31" x14ac:dyDescent="0.2">
      <c r="A27" s="176">
        <f t="shared" si="15"/>
        <v>12</v>
      </c>
      <c r="B27" s="56"/>
      <c r="C27" s="51">
        <v>0</v>
      </c>
      <c r="D27" s="252">
        <f t="shared" si="11"/>
        <v>0</v>
      </c>
      <c r="E27" s="56"/>
      <c r="F27" s="51">
        <v>0</v>
      </c>
      <c r="G27" s="241">
        <f t="shared" si="0"/>
        <v>0</v>
      </c>
      <c r="H27" s="242">
        <f>IF($A27&lt;=$N$4,H$15*'General Data'!$S19,"")</f>
        <v>656310</v>
      </c>
      <c r="I27" s="243">
        <f>IF(A27&lt;&gt;"",IF(I$15="",VLOOKUP(A27,'DOE Fuel Esc Rates'!$T$9:$W$38,3,TRUE),I$15),"")</f>
        <v>1.5318627450979783E-3</v>
      </c>
      <c r="J27" s="243">
        <f>((1+I27)*(1+'General Data'!$M$25))-1</f>
        <v>2.5333946078429648E-3</v>
      </c>
      <c r="K27" s="253">
        <f t="shared" si="12"/>
        <v>677447.86548784352</v>
      </c>
      <c r="L27" s="253">
        <f t="shared" si="1"/>
        <v>460322.62916945026</v>
      </c>
      <c r="M27" s="241">
        <f t="shared" si="13"/>
        <v>475148.30273284914</v>
      </c>
      <c r="N27" s="242">
        <f>IF($A27&lt;=$N$4,N$15*'General Data'!$S19,"")</f>
        <v>25320</v>
      </c>
      <c r="O27" s="243">
        <f>IF(A27&lt;&gt;"",IF(O$15="",VLOOKUP(A27,'DOE Fuel Esc Rates'!$T$9:$W$38,4,TRUE),O$15),"")</f>
        <v>5.4446460980037692E-3</v>
      </c>
      <c r="P27" s="243">
        <f>((1+O27)*(1+'General Data'!$M$25))-1</f>
        <v>6.4500907441016331E-3</v>
      </c>
      <c r="Q27" s="253">
        <f t="shared" si="14"/>
        <v>31592.972972972973</v>
      </c>
      <c r="R27" s="253">
        <f t="shared" si="2"/>
        <v>17758.938566486082</v>
      </c>
      <c r="S27" s="241">
        <f t="shared" si="3"/>
        <v>22158.675598723625</v>
      </c>
      <c r="T27" s="242">
        <f t="shared" si="4"/>
        <v>0</v>
      </c>
      <c r="U27" s="245">
        <f t="shared" si="5"/>
        <v>0</v>
      </c>
      <c r="V27" s="246">
        <f>IF($A27&lt;=$N$4,VLOOKUP(A27,'DOE Fuel Esc Rates'!$T$9:$W$38,2,TRUE),"")</f>
        <v>2026</v>
      </c>
      <c r="W27" s="247">
        <f t="shared" si="6"/>
        <v>709040.83846081654</v>
      </c>
      <c r="X27" s="241">
        <f t="shared" si="7"/>
        <v>497306.97833157278</v>
      </c>
      <c r="Y27" s="248">
        <f>IF(A27&lt;&gt;"",SUM(X$15:X27),"")</f>
        <v>7057623.5696873069</v>
      </c>
      <c r="Z27" s="249" t="str">
        <f t="shared" si="8"/>
        <v>n/a</v>
      </c>
      <c r="AA27" s="250" t="str">
        <f t="shared" si="9"/>
        <v>n/a</v>
      </c>
      <c r="AB27" s="198"/>
      <c r="AC27" s="251">
        <f t="shared" si="10"/>
        <v>709040.83846081654</v>
      </c>
      <c r="AD27" s="348"/>
      <c r="AE27" s="348"/>
    </row>
    <row r="28" spans="1:31" x14ac:dyDescent="0.2">
      <c r="A28" s="176">
        <f t="shared" si="15"/>
        <v>13</v>
      </c>
      <c r="B28" s="56"/>
      <c r="C28" s="51">
        <v>0</v>
      </c>
      <c r="D28" s="252">
        <f t="shared" si="11"/>
        <v>0</v>
      </c>
      <c r="E28" s="56"/>
      <c r="F28" s="51">
        <v>0</v>
      </c>
      <c r="G28" s="241">
        <f t="shared" si="0"/>
        <v>0</v>
      </c>
      <c r="H28" s="242">
        <f>IF($A28&lt;=$N$4,H$15*'General Data'!$S20,"")</f>
        <v>656310</v>
      </c>
      <c r="I28" s="243">
        <f>IF(A28&lt;&gt;"",IF(I$15="",VLOOKUP(A28,'DOE Fuel Esc Rates'!$T$9:$W$38,3,TRUE),I$15),"")</f>
        <v>-4.282655246252709E-3</v>
      </c>
      <c r="J28" s="243">
        <f>((1+I28)*(1+'General Data'!$M$25))-1</f>
        <v>-3.2869379014990319E-3</v>
      </c>
      <c r="K28" s="253">
        <f t="shared" si="12"/>
        <v>674546.58983264933</v>
      </c>
      <c r="L28" s="253">
        <f t="shared" si="1"/>
        <v>446915.17395092262</v>
      </c>
      <c r="M28" s="241">
        <f t="shared" si="13"/>
        <v>459333.40423437115</v>
      </c>
      <c r="N28" s="242">
        <f>IF($A28&lt;=$N$4,N$15*'General Data'!$S20,"")</f>
        <v>25320</v>
      </c>
      <c r="O28" s="243">
        <f>IF(A28&lt;&gt;"",IF(O$15="",VLOOKUP(A28,'DOE Fuel Esc Rates'!$T$9:$W$38,4,TRUE),O$15),"")</f>
        <v>-7.2202166064981865E-3</v>
      </c>
      <c r="P28" s="243">
        <f>((1+O28)*(1+'General Data'!$M$25))-1</f>
        <v>-6.2274368231047816E-3</v>
      </c>
      <c r="Q28" s="253">
        <f t="shared" si="14"/>
        <v>31364.864864864867</v>
      </c>
      <c r="R28" s="253">
        <f t="shared" si="2"/>
        <v>17241.687928627263</v>
      </c>
      <c r="S28" s="241">
        <f t="shared" si="3"/>
        <v>21357.946758434675</v>
      </c>
      <c r="T28" s="242">
        <f t="shared" si="4"/>
        <v>0</v>
      </c>
      <c r="U28" s="245">
        <f t="shared" si="5"/>
        <v>0</v>
      </c>
      <c r="V28" s="246">
        <f>IF($A28&lt;=$N$4,VLOOKUP(A28,'DOE Fuel Esc Rates'!$T$9:$W$38,2,TRUE),"")</f>
        <v>2027</v>
      </c>
      <c r="W28" s="247">
        <f t="shared" si="6"/>
        <v>705911.45469751419</v>
      </c>
      <c r="X28" s="241">
        <f t="shared" si="7"/>
        <v>480691.35099280585</v>
      </c>
      <c r="Y28" s="248">
        <f>IF(A28&lt;&gt;"",SUM(X$15:X28),"")</f>
        <v>7538314.9206801131</v>
      </c>
      <c r="Z28" s="249" t="str">
        <f t="shared" si="8"/>
        <v>n/a</v>
      </c>
      <c r="AA28" s="250" t="str">
        <f t="shared" si="9"/>
        <v>n/a</v>
      </c>
      <c r="AB28" s="198"/>
      <c r="AC28" s="251">
        <f t="shared" si="10"/>
        <v>705911.45469751419</v>
      </c>
      <c r="AD28" s="348"/>
      <c r="AE28" s="348"/>
    </row>
    <row r="29" spans="1:31" x14ac:dyDescent="0.2">
      <c r="A29" s="176">
        <f t="shared" si="15"/>
        <v>14</v>
      </c>
      <c r="B29" s="56"/>
      <c r="C29" s="51">
        <v>0</v>
      </c>
      <c r="D29" s="252">
        <f t="shared" si="11"/>
        <v>0</v>
      </c>
      <c r="E29" s="56"/>
      <c r="F29" s="51">
        <v>0</v>
      </c>
      <c r="G29" s="241">
        <f t="shared" si="0"/>
        <v>0</v>
      </c>
      <c r="H29" s="242">
        <f>IF($A29&lt;=$N$4,H$15*'General Data'!$S21,"")</f>
        <v>656310</v>
      </c>
      <c r="I29" s="243">
        <f>IF(A29&lt;&gt;"",IF(I$15="",VLOOKUP(A29,'DOE Fuel Esc Rates'!$T$9:$W$38,3,TRUE),I$15),"")</f>
        <v>-7.0660522273424675E-3</v>
      </c>
      <c r="J29" s="243">
        <f>((1+I29)*(1+'General Data'!$M$25))-1</f>
        <v>-6.0731182795699112E-3</v>
      </c>
      <c r="K29" s="253">
        <f t="shared" si="12"/>
        <v>669780.20839911606</v>
      </c>
      <c r="L29" s="253">
        <f t="shared" si="1"/>
        <v>433898.22713681799</v>
      </c>
      <c r="M29" s="241">
        <f t="shared" si="13"/>
        <v>442803.62175756117</v>
      </c>
      <c r="N29" s="242">
        <f>IF($A29&lt;=$N$4,N$15*'General Data'!$S21,"")</f>
        <v>25320</v>
      </c>
      <c r="O29" s="243">
        <f>IF(A29&lt;&gt;"",IF(O$15="",VLOOKUP(A29,'DOE Fuel Esc Rates'!$T$9:$W$38,4,TRUE),O$15),"")</f>
        <v>-4.5454545454546302E-3</v>
      </c>
      <c r="P29" s="243">
        <f>((1+O29)*(1+'General Data'!$M$25))-1</f>
        <v>-3.5500000000001641E-3</v>
      </c>
      <c r="Q29" s="253">
        <f t="shared" si="14"/>
        <v>31222.297297297297</v>
      </c>
      <c r="R29" s="253">
        <f t="shared" si="2"/>
        <v>16739.502843327438</v>
      </c>
      <c r="S29" s="241">
        <f t="shared" si="3"/>
        <v>20641.616681805794</v>
      </c>
      <c r="T29" s="242">
        <f t="shared" si="4"/>
        <v>0</v>
      </c>
      <c r="U29" s="245">
        <f t="shared" si="5"/>
        <v>0</v>
      </c>
      <c r="V29" s="246">
        <f>IF($A29&lt;=$N$4,VLOOKUP(A29,'DOE Fuel Esc Rates'!$T$9:$W$38,2,TRUE),"")</f>
        <v>2028</v>
      </c>
      <c r="W29" s="247">
        <f t="shared" si="6"/>
        <v>701002.50569641334</v>
      </c>
      <c r="X29" s="241">
        <f t="shared" si="7"/>
        <v>463445.23843936698</v>
      </c>
      <c r="Y29" s="248">
        <f>IF(A29&lt;&gt;"",SUM(X$15:X29),"")</f>
        <v>8001760.1591194803</v>
      </c>
      <c r="Z29" s="249" t="str">
        <f t="shared" si="8"/>
        <v>n/a</v>
      </c>
      <c r="AA29" s="250" t="str">
        <f t="shared" si="9"/>
        <v>n/a</v>
      </c>
      <c r="AB29" s="198"/>
      <c r="AC29" s="251">
        <f t="shared" si="10"/>
        <v>701002.50569641334</v>
      </c>
      <c r="AD29" s="348"/>
      <c r="AE29" s="348"/>
    </row>
    <row r="30" spans="1:31" x14ac:dyDescent="0.2">
      <c r="A30" s="176">
        <f t="shared" si="15"/>
        <v>15</v>
      </c>
      <c r="B30" s="56" t="s">
        <v>51</v>
      </c>
      <c r="C30" s="51">
        <v>0</v>
      </c>
      <c r="D30" s="252">
        <f t="shared" si="11"/>
        <v>0</v>
      </c>
      <c r="E30" s="56"/>
      <c r="F30" s="51">
        <v>0</v>
      </c>
      <c r="G30" s="241">
        <f t="shared" si="0"/>
        <v>0</v>
      </c>
      <c r="H30" s="242">
        <f>IF($A30&lt;=$N$4,H$15*'General Data'!$S22,"")</f>
        <v>656310</v>
      </c>
      <c r="I30" s="243">
        <f>IF(A30&lt;&gt;"",IF(I$15="",VLOOKUP(A30,'DOE Fuel Esc Rates'!$T$9:$W$38,3,TRUE),I$15),"")</f>
        <v>-2.7846534653466204E-3</v>
      </c>
      <c r="J30" s="243">
        <f>((1+I30)*(1+'General Data'!$M$25))-1</f>
        <v>-1.7874381188121014E-3</v>
      </c>
      <c r="K30" s="253">
        <f t="shared" si="12"/>
        <v>667915.10262077686</v>
      </c>
      <c r="L30" s="253">
        <f t="shared" si="1"/>
        <v>421260.41469593981</v>
      </c>
      <c r="M30" s="241">
        <f t="shared" si="13"/>
        <v>428709.28846385039</v>
      </c>
      <c r="N30" s="242">
        <f>IF($A30&lt;=$N$4,N$15*'General Data'!$S22,"")</f>
        <v>25320</v>
      </c>
      <c r="O30" s="243">
        <f>IF(A30&lt;&gt;"",IF(O$15="",VLOOKUP(A30,'DOE Fuel Esc Rates'!$T$9:$W$38,4,TRUE),O$15),"")</f>
        <v>2.73972602739736E-3</v>
      </c>
      <c r="P30" s="243">
        <f>((1+O30)*(1+'General Data'!$M$25))-1</f>
        <v>3.7424657534246286E-3</v>
      </c>
      <c r="Q30" s="253">
        <f t="shared" si="14"/>
        <v>31307.83783783784</v>
      </c>
      <c r="R30" s="253">
        <f t="shared" si="2"/>
        <v>16251.944508084891</v>
      </c>
      <c r="S30" s="241">
        <f t="shared" si="3"/>
        <v>20095.30976337524</v>
      </c>
      <c r="T30" s="242">
        <f t="shared" si="4"/>
        <v>0</v>
      </c>
      <c r="U30" s="245">
        <f t="shared" si="5"/>
        <v>0</v>
      </c>
      <c r="V30" s="246">
        <f>IF($A30&lt;=$N$4,VLOOKUP(A30,'DOE Fuel Esc Rates'!$T$9:$W$38,2,TRUE),"")</f>
        <v>2029</v>
      </c>
      <c r="W30" s="247">
        <f t="shared" si="6"/>
        <v>699222.94045861473</v>
      </c>
      <c r="X30" s="241">
        <f t="shared" si="7"/>
        <v>448804.59822722565</v>
      </c>
      <c r="Y30" s="248">
        <f>IF(A30&lt;&gt;"",SUM(X$15:X30),"")</f>
        <v>8450564.7573467065</v>
      </c>
      <c r="Z30" s="249" t="str">
        <f t="shared" si="8"/>
        <v>n/a</v>
      </c>
      <c r="AA30" s="250" t="str">
        <f t="shared" si="9"/>
        <v>n/a</v>
      </c>
      <c r="AB30" s="198"/>
      <c r="AC30" s="251">
        <f t="shared" si="10"/>
        <v>699222.94045861473</v>
      </c>
      <c r="AD30" s="348"/>
      <c r="AE30" s="348"/>
    </row>
    <row r="31" spans="1:31" x14ac:dyDescent="0.2">
      <c r="A31" s="176">
        <f t="shared" si="15"/>
        <v>16</v>
      </c>
      <c r="B31" s="56"/>
      <c r="C31" s="51">
        <v>0</v>
      </c>
      <c r="D31" s="252">
        <f t="shared" si="11"/>
        <v>0</v>
      </c>
      <c r="E31" s="56"/>
      <c r="F31" s="51">
        <v>0</v>
      </c>
      <c r="G31" s="241">
        <f t="shared" si="0"/>
        <v>0</v>
      </c>
      <c r="H31" s="242">
        <f>IF($A31&lt;=$N$4,H$15*'General Data'!$S23,"")</f>
        <v>656310</v>
      </c>
      <c r="I31" s="243">
        <f>IF(A31&lt;&gt;"",IF(I$15="",VLOOKUP(A31,'DOE Fuel Esc Rates'!$T$9:$W$38,3,TRUE),I$15),"")</f>
        <v>-1.2410797393732631E-3</v>
      </c>
      <c r="J31" s="243">
        <f>((1+I31)*(1+'General Data'!$M$25))-1</f>
        <v>-2.4232081911279568E-4</v>
      </c>
      <c r="K31" s="253">
        <f t="shared" si="12"/>
        <v>667086.16671929276</v>
      </c>
      <c r="L31" s="253">
        <f t="shared" si="1"/>
        <v>408990.69387955323</v>
      </c>
      <c r="M31" s="241">
        <f t="shared" si="13"/>
        <v>415706.04471054056</v>
      </c>
      <c r="N31" s="242">
        <f>IF($A31&lt;=$N$4,N$15*'General Data'!$S23,"")</f>
        <v>25320</v>
      </c>
      <c r="O31" s="243">
        <f>IF(A31&lt;&gt;"",IF(O$15="",VLOOKUP(A31,'DOE Fuel Esc Rates'!$T$9:$W$38,4,TRUE),O$15),"")</f>
        <v>8.1967213114753079E-3</v>
      </c>
      <c r="P31" s="243">
        <f>((1+O31)*(1+'General Data'!$M$25))-1</f>
        <v>9.2049180327866686E-3</v>
      </c>
      <c r="Q31" s="253">
        <f t="shared" si="14"/>
        <v>31564.45945945946</v>
      </c>
      <c r="R31" s="253">
        <f t="shared" si="2"/>
        <v>15778.586901053295</v>
      </c>
      <c r="S31" s="241">
        <f t="shared" si="3"/>
        <v>19669.927589488736</v>
      </c>
      <c r="T31" s="242">
        <f t="shared" si="4"/>
        <v>0</v>
      </c>
      <c r="U31" s="245">
        <f t="shared" si="5"/>
        <v>0</v>
      </c>
      <c r="V31" s="246">
        <f>IF($A31&lt;=$N$4,VLOOKUP(A31,'DOE Fuel Esc Rates'!$T$9:$W$38,2,TRUE),"")</f>
        <v>2030</v>
      </c>
      <c r="W31" s="247">
        <f t="shared" si="6"/>
        <v>698650.62617875217</v>
      </c>
      <c r="X31" s="241">
        <f t="shared" si="7"/>
        <v>435375.9723000293</v>
      </c>
      <c r="Y31" s="248">
        <f>IF(A31&lt;&gt;"",SUM(X$15:X31),"")</f>
        <v>8885940.7296467349</v>
      </c>
      <c r="Z31" s="249" t="str">
        <f t="shared" si="8"/>
        <v>n/a</v>
      </c>
      <c r="AA31" s="250" t="str">
        <f t="shared" si="9"/>
        <v>n/a</v>
      </c>
      <c r="AB31" s="198"/>
      <c r="AC31" s="251">
        <f t="shared" si="10"/>
        <v>698650.62617875217</v>
      </c>
      <c r="AD31" s="348"/>
      <c r="AE31" s="348"/>
    </row>
    <row r="32" spans="1:31" x14ac:dyDescent="0.2">
      <c r="A32" s="176">
        <f t="shared" si="15"/>
        <v>17</v>
      </c>
      <c r="B32" s="56"/>
      <c r="C32" s="51">
        <v>0</v>
      </c>
      <c r="D32" s="252">
        <f t="shared" si="11"/>
        <v>0</v>
      </c>
      <c r="E32" s="56"/>
      <c r="F32" s="51">
        <v>0</v>
      </c>
      <c r="G32" s="241">
        <f t="shared" si="0"/>
        <v>0</v>
      </c>
      <c r="H32" s="242">
        <f>IF($A32&lt;=$N$4,H$15*'General Data'!$S24,"")</f>
        <v>656310</v>
      </c>
      <c r="I32" s="243">
        <f>IF(A32&lt;&gt;"",IF(I$15="",VLOOKUP(A32,'DOE Fuel Esc Rates'!$T$9:$W$38,3,TRUE),I$15),"")</f>
        <v>0</v>
      </c>
      <c r="J32" s="243">
        <f>((1+I32)*(1+'General Data'!$M$25))-1</f>
        <v>9.9999999999988987E-4</v>
      </c>
      <c r="K32" s="253">
        <f t="shared" si="12"/>
        <v>667086.16671929276</v>
      </c>
      <c r="L32" s="253">
        <f t="shared" si="1"/>
        <v>397078.34357238183</v>
      </c>
      <c r="M32" s="241">
        <f t="shared" si="13"/>
        <v>403598.10166071902</v>
      </c>
      <c r="N32" s="242">
        <f>IF($A32&lt;=$N$4,N$15*'General Data'!$S24,"")</f>
        <v>25320</v>
      </c>
      <c r="O32" s="243">
        <f>IF(A32&lt;&gt;"",IF(O$15="",VLOOKUP(A32,'DOE Fuel Esc Rates'!$T$9:$W$38,4,TRUE),O$15),"")</f>
        <v>1.6260162601625883E-2</v>
      </c>
      <c r="P32" s="243">
        <f>((1+O32)*(1+'General Data'!$M$25))-1</f>
        <v>1.7276422764227473E-2</v>
      </c>
      <c r="Q32" s="253">
        <f t="shared" si="14"/>
        <v>32077.7027027027</v>
      </c>
      <c r="R32" s="253">
        <f t="shared" si="2"/>
        <v>15319.016408789608</v>
      </c>
      <c r="S32" s="241">
        <f t="shared" si="3"/>
        <v>19407.5376800544</v>
      </c>
      <c r="T32" s="242">
        <f t="shared" si="4"/>
        <v>0</v>
      </c>
      <c r="U32" s="245">
        <f t="shared" si="5"/>
        <v>0</v>
      </c>
      <c r="V32" s="246">
        <f>IF($A32&lt;=$N$4,VLOOKUP(A32,'DOE Fuel Esc Rates'!$T$9:$W$38,2,TRUE),"")</f>
        <v>2031</v>
      </c>
      <c r="W32" s="247">
        <f t="shared" si="6"/>
        <v>699163.86942199548</v>
      </c>
      <c r="X32" s="241">
        <f t="shared" si="7"/>
        <v>423005.6393407734</v>
      </c>
      <c r="Y32" s="248">
        <f>IF(A32&lt;&gt;"",SUM(X$15:X32),"")</f>
        <v>9308946.3689875081</v>
      </c>
      <c r="Z32" s="249" t="str">
        <f t="shared" si="8"/>
        <v>n/a</v>
      </c>
      <c r="AA32" s="250" t="str">
        <f t="shared" si="9"/>
        <v>n/a</v>
      </c>
      <c r="AB32" s="198"/>
      <c r="AC32" s="251">
        <f t="shared" si="10"/>
        <v>699163.86942199548</v>
      </c>
      <c r="AD32" s="348"/>
      <c r="AE32" s="348"/>
    </row>
    <row r="33" spans="1:31" x14ac:dyDescent="0.2">
      <c r="A33" s="176">
        <f t="shared" si="15"/>
        <v>18</v>
      </c>
      <c r="B33" s="56"/>
      <c r="C33" s="51">
        <v>0</v>
      </c>
      <c r="D33" s="252">
        <f t="shared" si="11"/>
        <v>0</v>
      </c>
      <c r="E33" s="56"/>
      <c r="F33" s="51">
        <v>0</v>
      </c>
      <c r="G33" s="241">
        <f t="shared" si="0"/>
        <v>0</v>
      </c>
      <c r="H33" s="242">
        <f>IF($A33&lt;=$N$4,H$15*'General Data'!$S25,"")</f>
        <v>656310</v>
      </c>
      <c r="I33" s="243">
        <f>IF(A33&lt;&gt;"",IF(I$15="",VLOOKUP(A33,'DOE Fuel Esc Rates'!$T$9:$W$38,3,TRUE),I$15),"")</f>
        <v>2.1745883814849876E-3</v>
      </c>
      <c r="J33" s="243">
        <f>((1+I33)*(1+'General Data'!$M$25))-1</f>
        <v>3.1767629698664646E-3</v>
      </c>
      <c r="K33" s="253">
        <f t="shared" si="12"/>
        <v>668536.80454688985</v>
      </c>
      <c r="L33" s="253">
        <f t="shared" si="1"/>
        <v>385512.95492464252</v>
      </c>
      <c r="M33" s="241">
        <f t="shared" si="13"/>
        <v>392694.91398386389</v>
      </c>
      <c r="N33" s="242">
        <f>IF($A33&lt;=$N$4,N$15*'General Data'!$S25,"")</f>
        <v>25320</v>
      </c>
      <c r="O33" s="243">
        <f>IF(A33&lt;&gt;"",IF(O$15="",VLOOKUP(A33,'DOE Fuel Esc Rates'!$T$9:$W$38,4,TRUE),O$15),"")</f>
        <v>1.3333333333333419E-2</v>
      </c>
      <c r="P33" s="243">
        <f>((1+O33)*(1+'General Data'!$M$25))-1</f>
        <v>1.434666666666673E-2</v>
      </c>
      <c r="Q33" s="253">
        <f t="shared" si="14"/>
        <v>32505.405405405407</v>
      </c>
      <c r="R33" s="253">
        <f t="shared" si="2"/>
        <v>14872.831464844279</v>
      </c>
      <c r="S33" s="241">
        <f t="shared" si="3"/>
        <v>19093.499853516303</v>
      </c>
      <c r="T33" s="242">
        <f t="shared" si="4"/>
        <v>0</v>
      </c>
      <c r="U33" s="245">
        <f t="shared" si="5"/>
        <v>0</v>
      </c>
      <c r="V33" s="246">
        <f>IF($A33&lt;=$N$4,VLOOKUP(A33,'DOE Fuel Esc Rates'!$T$9:$W$38,2,TRUE),"")</f>
        <v>2032</v>
      </c>
      <c r="W33" s="247">
        <f t="shared" si="6"/>
        <v>701042.20995229529</v>
      </c>
      <c r="X33" s="241">
        <f t="shared" si="7"/>
        <v>411788.41383738018</v>
      </c>
      <c r="Y33" s="248">
        <f>IF(A33&lt;&gt;"",SUM(X$15:X33),"")</f>
        <v>9720734.7828248888</v>
      </c>
      <c r="Z33" s="249" t="str">
        <f t="shared" si="8"/>
        <v>n/a</v>
      </c>
      <c r="AA33" s="250" t="str">
        <f t="shared" si="9"/>
        <v>n/a</v>
      </c>
      <c r="AB33" s="198"/>
      <c r="AC33" s="251">
        <f t="shared" si="10"/>
        <v>701042.20995229529</v>
      </c>
      <c r="AD33" s="348"/>
      <c r="AE33" s="348"/>
    </row>
    <row r="34" spans="1:31" x14ac:dyDescent="0.2">
      <c r="A34" s="176">
        <f t="shared" si="15"/>
        <v>19</v>
      </c>
      <c r="B34" s="56"/>
      <c r="C34" s="51">
        <v>0</v>
      </c>
      <c r="D34" s="252">
        <f t="shared" si="11"/>
        <v>0</v>
      </c>
      <c r="E34" s="56"/>
      <c r="F34" s="51">
        <v>0</v>
      </c>
      <c r="G34" s="241">
        <f t="shared" si="0"/>
        <v>0</v>
      </c>
      <c r="H34" s="242">
        <f>IF($A34&lt;=$N$4,H$15*'General Data'!$S26,"")</f>
        <v>656310</v>
      </c>
      <c r="I34" s="243">
        <f>IF(A34&lt;&gt;"",IF(I$15="",VLOOKUP(A34,'DOE Fuel Esc Rates'!$T$9:$W$38,3,TRUE),I$15),"")</f>
        <v>1.2399256044637319E-3</v>
      </c>
      <c r="J34" s="243">
        <f>((1+I34)*(1+'General Data'!$M$25))-1</f>
        <v>2.2411655300680344E-3</v>
      </c>
      <c r="K34" s="253">
        <f t="shared" si="12"/>
        <v>669365.74044837395</v>
      </c>
      <c r="L34" s="253">
        <f t="shared" si="1"/>
        <v>374284.42225693451</v>
      </c>
      <c r="M34" s="241">
        <f t="shared" si="13"/>
        <v>381729.9286043254</v>
      </c>
      <c r="N34" s="242">
        <f>IF($A34&lt;=$N$4,N$15*'General Data'!$S26,"")</f>
        <v>25320</v>
      </c>
      <c r="O34" s="243">
        <f>IF(A34&lt;&gt;"",IF(O$15="",VLOOKUP(A34,'DOE Fuel Esc Rates'!$T$9:$W$38,4,TRUE),O$15),"")</f>
        <v>1.2280701754385781E-2</v>
      </c>
      <c r="P34" s="243">
        <f>((1+O34)*(1+'General Data'!$M$25))-1</f>
        <v>1.3292982456140079E-2</v>
      </c>
      <c r="Q34" s="253">
        <f t="shared" si="14"/>
        <v>32904.594594594593</v>
      </c>
      <c r="R34" s="253">
        <f t="shared" si="2"/>
        <v>14439.64219887794</v>
      </c>
      <c r="S34" s="241">
        <f t="shared" si="3"/>
        <v>18765.030515208495</v>
      </c>
      <c r="T34" s="242">
        <f t="shared" si="4"/>
        <v>0</v>
      </c>
      <c r="U34" s="245">
        <f t="shared" si="5"/>
        <v>0</v>
      </c>
      <c r="V34" s="246">
        <f>IF($A34&lt;=$N$4,VLOOKUP(A34,'DOE Fuel Esc Rates'!$T$9:$W$38,2,TRUE),"")</f>
        <v>2033</v>
      </c>
      <c r="W34" s="247">
        <f t="shared" si="6"/>
        <v>702270.33504296851</v>
      </c>
      <c r="X34" s="241">
        <f t="shared" si="7"/>
        <v>400494.95911953389</v>
      </c>
      <c r="Y34" s="248">
        <f>IF(A34&lt;&gt;"",SUM(X$15:X34),"")</f>
        <v>10121229.741944423</v>
      </c>
      <c r="Z34" s="249" t="str">
        <f t="shared" si="8"/>
        <v>n/a</v>
      </c>
      <c r="AA34" s="250" t="str">
        <f t="shared" si="9"/>
        <v>n/a</v>
      </c>
      <c r="AB34" s="198"/>
      <c r="AC34" s="251">
        <f t="shared" si="10"/>
        <v>702270.33504296851</v>
      </c>
      <c r="AD34" s="348"/>
      <c r="AE34" s="348"/>
    </row>
    <row r="35" spans="1:31" x14ac:dyDescent="0.2">
      <c r="A35" s="176">
        <f t="shared" si="15"/>
        <v>20</v>
      </c>
      <c r="B35" s="56"/>
      <c r="C35" s="51">
        <v>0</v>
      </c>
      <c r="D35" s="252">
        <f t="shared" si="11"/>
        <v>0</v>
      </c>
      <c r="E35" s="56" t="s">
        <v>50</v>
      </c>
      <c r="F35" s="51">
        <v>0</v>
      </c>
      <c r="G35" s="241">
        <f t="shared" si="0"/>
        <v>0</v>
      </c>
      <c r="H35" s="242">
        <f>IF($A35&lt;=$N$4,H$15*'General Data'!$S27,"")</f>
        <v>656310</v>
      </c>
      <c r="I35" s="243">
        <f>IF(A35&lt;&gt;"",IF(I$15="",VLOOKUP(A35,'DOE Fuel Esc Rates'!$T$9:$W$38,3,TRUE),I$15),"")</f>
        <v>2.1671826625386803E-3</v>
      </c>
      <c r="J35" s="243">
        <f>((1+I35)*(1+'General Data'!$M$25))-1</f>
        <v>3.1693498452010083E-3</v>
      </c>
      <c r="K35" s="253">
        <f t="shared" si="12"/>
        <v>670816.37827597104</v>
      </c>
      <c r="L35" s="253">
        <f t="shared" si="1"/>
        <v>363382.93423003348</v>
      </c>
      <c r="M35" s="241">
        <f t="shared" si="13"/>
        <v>371414.76416249404</v>
      </c>
      <c r="N35" s="242">
        <f>IF($A35&lt;=$N$4,N$15*'General Data'!$S27,"")</f>
        <v>25320</v>
      </c>
      <c r="O35" s="243">
        <f>IF(A35&lt;&gt;"",IF(O$15="",VLOOKUP(A35,'DOE Fuel Esc Rates'!$T$9:$W$38,4,TRUE),O$15),"")</f>
        <v>1.7331022530329365E-2</v>
      </c>
      <c r="P35" s="243">
        <f>((1+O35)*(1+'General Data'!$M$25))-1</f>
        <v>1.8348353552859686E-2</v>
      </c>
      <c r="Q35" s="253">
        <f t="shared" si="14"/>
        <v>33474.864864864867</v>
      </c>
      <c r="R35" s="253">
        <f t="shared" si="2"/>
        <v>14019.070095998002</v>
      </c>
      <c r="S35" s="241">
        <f t="shared" si="3"/>
        <v>18534.2210503397</v>
      </c>
      <c r="T35" s="242">
        <f t="shared" si="4"/>
        <v>0</v>
      </c>
      <c r="U35" s="245">
        <f t="shared" si="5"/>
        <v>0</v>
      </c>
      <c r="V35" s="246">
        <f>IF($A35&lt;=$N$4,VLOOKUP(A35,'DOE Fuel Esc Rates'!$T$9:$W$38,2,TRUE),"")</f>
        <v>2034</v>
      </c>
      <c r="W35" s="247">
        <f t="shared" si="6"/>
        <v>704291.2431408359</v>
      </c>
      <c r="X35" s="241">
        <f t="shared" si="7"/>
        <v>389948.98521283374</v>
      </c>
      <c r="Y35" s="248">
        <f>IF(A35&lt;&gt;"",SUM(X$15:X35),"")</f>
        <v>10511178.727157257</v>
      </c>
      <c r="Z35" s="249" t="str">
        <f t="shared" si="8"/>
        <v>n/a</v>
      </c>
      <c r="AA35" s="250" t="str">
        <f t="shared" si="9"/>
        <v>n/a</v>
      </c>
      <c r="AB35" s="198"/>
      <c r="AC35" s="251">
        <f t="shared" si="10"/>
        <v>704291.2431408359</v>
      </c>
      <c r="AD35" s="348"/>
      <c r="AE35" s="348"/>
    </row>
    <row r="36" spans="1:31" x14ac:dyDescent="0.2">
      <c r="A36" s="176">
        <f t="shared" si="15"/>
        <v>21</v>
      </c>
      <c r="B36" s="56"/>
      <c r="C36" s="51">
        <v>0</v>
      </c>
      <c r="D36" s="252">
        <f t="shared" si="11"/>
        <v>0</v>
      </c>
      <c r="E36" s="56"/>
      <c r="F36" s="51">
        <v>0</v>
      </c>
      <c r="G36" s="241">
        <f t="shared" si="0"/>
        <v>0</v>
      </c>
      <c r="H36" s="242">
        <f>IF($A36&lt;=$N$4,H$15*'General Data'!$S28,"")</f>
        <v>656310</v>
      </c>
      <c r="I36" s="243">
        <f>IF(A36&lt;&gt;"",IF(I$15="",VLOOKUP(A36,'DOE Fuel Esc Rates'!$T$9:$W$38,3,TRUE),I$15),"")</f>
        <v>2.780352177942591E-3</v>
      </c>
      <c r="J36" s="243">
        <f>((1+I36)*(1+'General Data'!$M$25))-1</f>
        <v>3.7831325301205254E-3</v>
      </c>
      <c r="K36" s="253">
        <f t="shared" si="12"/>
        <v>672681.48405431025</v>
      </c>
      <c r="L36" s="253">
        <f t="shared" si="1"/>
        <v>352798.96527187724</v>
      </c>
      <c r="M36" s="241">
        <f t="shared" si="13"/>
        <v>361599.44467082847</v>
      </c>
      <c r="N36" s="242">
        <f>IF($A36&lt;=$N$4,N$15*'General Data'!$S28,"")</f>
        <v>25320</v>
      </c>
      <c r="O36" s="243">
        <f>IF(A36&lt;&gt;"",IF(O$15="",VLOOKUP(A36,'DOE Fuel Esc Rates'!$T$9:$W$38,4,TRUE),O$15),"")</f>
        <v>1.7035775127768327E-2</v>
      </c>
      <c r="P36" s="243">
        <f>((1+O36)*(1+'General Data'!$M$25))-1</f>
        <v>1.8052810902895899E-2</v>
      </c>
      <c r="Q36" s="253">
        <f t="shared" si="14"/>
        <v>34045.13513513514</v>
      </c>
      <c r="R36" s="253">
        <f t="shared" si="2"/>
        <v>13610.747666017478</v>
      </c>
      <c r="S36" s="241">
        <f t="shared" si="3"/>
        <v>18300.937740118101</v>
      </c>
      <c r="T36" s="242">
        <f t="shared" si="4"/>
        <v>0</v>
      </c>
      <c r="U36" s="245">
        <f t="shared" si="5"/>
        <v>0</v>
      </c>
      <c r="V36" s="246">
        <f>IF($A36&lt;=$N$4,VLOOKUP(A36,'DOE Fuel Esc Rates'!$T$9:$W$38,2,TRUE),"")</f>
        <v>2035</v>
      </c>
      <c r="W36" s="247">
        <f t="shared" si="6"/>
        <v>706726.6191894454</v>
      </c>
      <c r="X36" s="241">
        <f t="shared" si="7"/>
        <v>379900.38241094659</v>
      </c>
      <c r="Y36" s="248">
        <f>IF(A36&lt;&gt;"",SUM(X$15:X36),"")</f>
        <v>10891079.109568205</v>
      </c>
      <c r="Z36" s="249" t="str">
        <f t="shared" si="8"/>
        <v>n/a</v>
      </c>
      <c r="AA36" s="250" t="str">
        <f t="shared" si="9"/>
        <v>n/a</v>
      </c>
      <c r="AB36" s="198"/>
      <c r="AC36" s="251">
        <f t="shared" si="10"/>
        <v>706726.6191894454</v>
      </c>
      <c r="AD36" s="348"/>
      <c r="AE36" s="348"/>
    </row>
    <row r="37" spans="1:31" x14ac:dyDescent="0.2">
      <c r="A37" s="176">
        <f t="shared" si="15"/>
        <v>22</v>
      </c>
      <c r="B37" s="56"/>
      <c r="C37" s="51">
        <v>0</v>
      </c>
      <c r="D37" s="252">
        <f t="shared" si="11"/>
        <v>0</v>
      </c>
      <c r="E37" s="56"/>
      <c r="F37" s="51">
        <v>0</v>
      </c>
      <c r="G37" s="241">
        <f t="shared" si="0"/>
        <v>0</v>
      </c>
      <c r="H37" s="242">
        <f>IF($A37&lt;=$N$4,H$15*'General Data'!$S29,"")</f>
        <v>656310</v>
      </c>
      <c r="I37" s="243">
        <f>IF(A37&lt;&gt;"",IF(I$15="",VLOOKUP(A37,'DOE Fuel Esc Rates'!$T$9:$W$38,3,TRUE),I$15),"")</f>
        <v>4.6210720887245316E-3</v>
      </c>
      <c r="J37" s="243">
        <f>((1+I37)*(1+'General Data'!$M$25))-1</f>
        <v>5.6256931608131833E-3</v>
      </c>
      <c r="K37" s="253">
        <f t="shared" si="12"/>
        <v>675789.99368487543</v>
      </c>
      <c r="L37" s="253">
        <f t="shared" si="1"/>
        <v>342523.26725424972</v>
      </c>
      <c r="M37" s="241">
        <f t="shared" si="13"/>
        <v>352689.72987562633</v>
      </c>
      <c r="N37" s="242">
        <f>IF($A37&lt;=$N$4,N$15*'General Data'!$S29,"")</f>
        <v>25320</v>
      </c>
      <c r="O37" s="243">
        <f>IF(A37&lt;&gt;"",IF(O$15="",VLOOKUP(A37,'DOE Fuel Esc Rates'!$T$9:$W$38,4,TRUE),O$15),"")</f>
        <v>1.0050251256281451E-2</v>
      </c>
      <c r="P37" s="243">
        <f>((1+O37)*(1+'General Data'!$M$25))-1</f>
        <v>1.1060301507537673E-2</v>
      </c>
      <c r="Q37" s="253">
        <f t="shared" si="14"/>
        <v>34387.297297297308</v>
      </c>
      <c r="R37" s="253">
        <f t="shared" si="2"/>
        <v>13214.318122347066</v>
      </c>
      <c r="S37" s="241">
        <f t="shared" si="3"/>
        <v>17946.472585079468</v>
      </c>
      <c r="T37" s="242">
        <f t="shared" si="4"/>
        <v>0</v>
      </c>
      <c r="U37" s="245">
        <f t="shared" si="5"/>
        <v>0</v>
      </c>
      <c r="V37" s="246">
        <f>IF($A37&lt;=$N$4,VLOOKUP(A37,'DOE Fuel Esc Rates'!$T$9:$W$38,2,TRUE),"")</f>
        <v>2036</v>
      </c>
      <c r="W37" s="247">
        <f t="shared" si="6"/>
        <v>710177.29098217271</v>
      </c>
      <c r="X37" s="241">
        <f t="shared" si="7"/>
        <v>370636.20246070583</v>
      </c>
      <c r="Y37" s="248">
        <f>IF(A37&lt;&gt;"",SUM(X$15:X37),"")</f>
        <v>11261715.312028911</v>
      </c>
      <c r="Z37" s="249" t="str">
        <f t="shared" si="8"/>
        <v>n/a</v>
      </c>
      <c r="AA37" s="250" t="str">
        <f t="shared" si="9"/>
        <v>n/a</v>
      </c>
      <c r="AB37" s="198"/>
      <c r="AC37" s="251">
        <f t="shared" si="10"/>
        <v>710177.29098217271</v>
      </c>
      <c r="AD37" s="348"/>
      <c r="AE37" s="348"/>
    </row>
    <row r="38" spans="1:31" x14ac:dyDescent="0.2">
      <c r="A38" s="176">
        <f t="shared" si="15"/>
        <v>23</v>
      </c>
      <c r="B38" s="56"/>
      <c r="C38" s="51">
        <v>0</v>
      </c>
      <c r="D38" s="252">
        <f t="shared" si="11"/>
        <v>0</v>
      </c>
      <c r="E38" s="56"/>
      <c r="F38" s="51">
        <v>0</v>
      </c>
      <c r="G38" s="241">
        <f t="shared" si="0"/>
        <v>0</v>
      </c>
      <c r="H38" s="242">
        <f>IF($A38&lt;=$N$4,H$15*'General Data'!$S30,"")</f>
        <v>656310</v>
      </c>
      <c r="I38" s="243">
        <f>IF(A38&lt;&gt;"",IF(I$15="",VLOOKUP(A38,'DOE Fuel Esc Rates'!$T$9:$W$38,3,TRUE),I$15),"")</f>
        <v>4.9064704078505272E-3</v>
      </c>
      <c r="J38" s="243">
        <f>((1+I38)*(1+'General Data'!$M$25))-1</f>
        <v>5.9113768782581566E-3</v>
      </c>
      <c r="K38" s="253">
        <f t="shared" si="12"/>
        <v>679105.73729081172</v>
      </c>
      <c r="L38" s="253">
        <f t="shared" si="1"/>
        <v>332546.86141189293</v>
      </c>
      <c r="M38" s="241">
        <f t="shared" si="13"/>
        <v>344097.27339651826</v>
      </c>
      <c r="N38" s="242">
        <f>IF($A38&lt;=$N$4,N$15*'General Data'!$S30,"")</f>
        <v>25320</v>
      </c>
      <c r="O38" s="243">
        <f>IF(A38&lt;&gt;"",IF(O$15="",VLOOKUP(A38,'DOE Fuel Esc Rates'!$T$9:$W$38,4,TRUE),O$15),"")</f>
        <v>1.8242122719734466E-2</v>
      </c>
      <c r="P38" s="243">
        <f>((1+O38)*(1+'General Data'!$M$25))-1</f>
        <v>1.9260364842454081E-2</v>
      </c>
      <c r="Q38" s="253">
        <f t="shared" si="14"/>
        <v>35014.5945945946</v>
      </c>
      <c r="R38" s="253">
        <f t="shared" si="2"/>
        <v>12829.435070239868</v>
      </c>
      <c r="S38" s="241">
        <f t="shared" si="3"/>
        <v>17741.606155692072</v>
      </c>
      <c r="T38" s="242">
        <f t="shared" si="4"/>
        <v>0</v>
      </c>
      <c r="U38" s="245">
        <f t="shared" si="5"/>
        <v>0</v>
      </c>
      <c r="V38" s="246">
        <f>IF($A38&lt;=$N$4,VLOOKUP(A38,'DOE Fuel Esc Rates'!$T$9:$W$38,2,TRUE),"")</f>
        <v>2037</v>
      </c>
      <c r="W38" s="247">
        <f t="shared" si="6"/>
        <v>714120.33188540628</v>
      </c>
      <c r="X38" s="241">
        <f t="shared" si="7"/>
        <v>361838.87955221033</v>
      </c>
      <c r="Y38" s="248">
        <f>IF(A38&lt;&gt;"",SUM(X$15:X38),"")</f>
        <v>11623554.191581121</v>
      </c>
      <c r="Z38" s="249" t="str">
        <f t="shared" si="8"/>
        <v>n/a</v>
      </c>
      <c r="AA38" s="250" t="str">
        <f t="shared" si="9"/>
        <v>n/a</v>
      </c>
      <c r="AB38" s="198"/>
      <c r="AC38" s="251">
        <f t="shared" si="10"/>
        <v>714120.33188540628</v>
      </c>
      <c r="AD38" s="348"/>
      <c r="AE38" s="348"/>
    </row>
    <row r="39" spans="1:31" x14ac:dyDescent="0.2">
      <c r="A39" s="176">
        <f t="shared" si="15"/>
        <v>24</v>
      </c>
      <c r="B39" s="56"/>
      <c r="C39" s="51">
        <v>0</v>
      </c>
      <c r="D39" s="252">
        <f t="shared" si="11"/>
        <v>0</v>
      </c>
      <c r="E39" s="56"/>
      <c r="F39" s="51">
        <v>0</v>
      </c>
      <c r="G39" s="241">
        <f t="shared" si="0"/>
        <v>0</v>
      </c>
      <c r="H39" s="242">
        <f>IF($A39&lt;=$N$4,H$15*'General Data'!$S31,"")</f>
        <v>656310</v>
      </c>
      <c r="I39" s="243">
        <f>IF(A39&lt;&gt;"",IF(I$15="",VLOOKUP(A39,'DOE Fuel Esc Rates'!$T$9:$W$38,3,TRUE),I$15),"")</f>
        <v>4.8825144949649069E-3</v>
      </c>
      <c r="J39" s="243">
        <f>((1+I39)*(1+'General Data'!$M$25))-1</f>
        <v>5.8873970094597272E-3</v>
      </c>
      <c r="K39" s="253">
        <f t="shared" si="12"/>
        <v>682421.4808967479</v>
      </c>
      <c r="L39" s="253">
        <f t="shared" si="1"/>
        <v>322861.03049698344</v>
      </c>
      <c r="M39" s="241">
        <f t="shared" si="13"/>
        <v>335706.14885587839</v>
      </c>
      <c r="N39" s="242">
        <f>IF($A39&lt;=$N$4,N$15*'General Data'!$S31,"")</f>
        <v>25320</v>
      </c>
      <c r="O39" s="243">
        <f>IF(A39&lt;&gt;"",IF(O$15="",VLOOKUP(A39,'DOE Fuel Esc Rates'!$T$9:$W$38,4,TRUE),O$15),"")</f>
        <v>2.6058631921824116E-2</v>
      </c>
      <c r="P39" s="243">
        <f>((1+O39)*(1+'General Data'!$M$25))-1</f>
        <v>2.7084690553745849E-2</v>
      </c>
      <c r="Q39" s="253">
        <f t="shared" si="14"/>
        <v>35927.027027027034</v>
      </c>
      <c r="R39" s="253">
        <f t="shared" si="2"/>
        <v>12455.76220411638</v>
      </c>
      <c r="S39" s="241">
        <f t="shared" si="3"/>
        <v>17673.716640975948</v>
      </c>
      <c r="T39" s="242">
        <f t="shared" si="4"/>
        <v>0</v>
      </c>
      <c r="U39" s="245">
        <f t="shared" si="5"/>
        <v>0</v>
      </c>
      <c r="V39" s="246">
        <f>IF($A39&lt;=$N$4,VLOOKUP(A39,'DOE Fuel Esc Rates'!$T$9:$W$38,2,TRUE),"")</f>
        <v>2038</v>
      </c>
      <c r="W39" s="247">
        <f t="shared" si="6"/>
        <v>718348.50792377489</v>
      </c>
      <c r="X39" s="241">
        <f t="shared" si="7"/>
        <v>353379.86549685436</v>
      </c>
      <c r="Y39" s="248">
        <f>IF(A39&lt;&gt;"",SUM(X$15:X39),"")</f>
        <v>11976934.057077976</v>
      </c>
      <c r="Z39" s="249" t="str">
        <f t="shared" si="8"/>
        <v>n/a</v>
      </c>
      <c r="AA39" s="250" t="str">
        <f t="shared" si="9"/>
        <v>n/a</v>
      </c>
      <c r="AB39" s="198"/>
      <c r="AC39" s="251">
        <f t="shared" si="10"/>
        <v>718348.50792377489</v>
      </c>
      <c r="AD39" s="348"/>
      <c r="AE39" s="348"/>
    </row>
    <row r="40" spans="1:31" x14ac:dyDescent="0.2">
      <c r="A40" s="176">
        <f t="shared" si="15"/>
        <v>25</v>
      </c>
      <c r="B40" s="56" t="s">
        <v>52</v>
      </c>
      <c r="C40" s="51">
        <v>0</v>
      </c>
      <c r="D40" s="252">
        <f t="shared" si="11"/>
        <v>0</v>
      </c>
      <c r="E40" s="56"/>
      <c r="F40" s="51">
        <v>0</v>
      </c>
      <c r="G40" s="241">
        <f t="shared" si="0"/>
        <v>0</v>
      </c>
      <c r="H40" s="242">
        <f>IF($A40&lt;=$N$4,H$15*'General Data'!$S32,"")</f>
        <v>656310</v>
      </c>
      <c r="I40" s="243">
        <f>IF(A40&lt;&gt;"",IF(I$15="",VLOOKUP(A40,'DOE Fuel Esc Rates'!$T$9:$W$38,3,TRUE),I$15),"")</f>
        <v>5.1624658366231646E-3</v>
      </c>
      <c r="J40" s="243">
        <f>((1+I40)*(1+'General Data'!$M$25))-1</f>
        <v>6.167628302459649E-3</v>
      </c>
      <c r="K40" s="253">
        <f t="shared" si="12"/>
        <v>685944.4584780552</v>
      </c>
      <c r="L40" s="253">
        <f t="shared" si="1"/>
        <v>313457.31116211985</v>
      </c>
      <c r="M40" s="241">
        <f t="shared" si="13"/>
        <v>327610.89357329241</v>
      </c>
      <c r="N40" s="242">
        <f>IF($A40&lt;=$N$4,N$15*'General Data'!$S32,"")</f>
        <v>25320</v>
      </c>
      <c r="O40" s="243">
        <f>IF(A40&lt;&gt;"",IF(O$15="",VLOOKUP(A40,'DOE Fuel Esc Rates'!$T$9:$W$38,4,TRUE),O$15),"")</f>
        <v>2.4603174603174738E-2</v>
      </c>
      <c r="P40" s="243">
        <f>((1+O40)*(1+'General Data'!$M$25))-1</f>
        <v>2.5627777777777805E-2</v>
      </c>
      <c r="Q40" s="253">
        <f t="shared" si="14"/>
        <v>36810.945945945961</v>
      </c>
      <c r="R40" s="253">
        <f t="shared" si="2"/>
        <v>12092.973013705223</v>
      </c>
      <c r="S40" s="241">
        <f t="shared" si="3"/>
        <v>17581.112793573702</v>
      </c>
      <c r="T40" s="242">
        <f t="shared" si="4"/>
        <v>0</v>
      </c>
      <c r="U40" s="245">
        <f t="shared" si="5"/>
        <v>0</v>
      </c>
      <c r="V40" s="246">
        <f>IF($A40&lt;=$N$4,VLOOKUP(A40,'DOE Fuel Esc Rates'!$T$9:$W$38,2,TRUE),"")</f>
        <v>2039</v>
      </c>
      <c r="W40" s="247">
        <f t="shared" si="6"/>
        <v>722755.40442400111</v>
      </c>
      <c r="X40" s="241">
        <f t="shared" si="7"/>
        <v>345192.00636686612</v>
      </c>
      <c r="Y40" s="248">
        <f>IF(A40&lt;&gt;"",SUM(X$15:X40),"")</f>
        <v>12322126.063444842</v>
      </c>
      <c r="Z40" s="249" t="str">
        <f t="shared" si="8"/>
        <v>n/a</v>
      </c>
      <c r="AA40" s="250" t="str">
        <f t="shared" si="9"/>
        <v>n/a</v>
      </c>
      <c r="AB40" s="198"/>
      <c r="AC40" s="251">
        <f t="shared" si="10"/>
        <v>722755.40442400111</v>
      </c>
      <c r="AD40" s="348"/>
      <c r="AE40" s="348"/>
    </row>
    <row r="41" spans="1:31" s="124" customFormat="1" ht="11.25" customHeight="1" thickBot="1" x14ac:dyDescent="0.25">
      <c r="A41" s="254"/>
      <c r="B41" s="255"/>
      <c r="C41" s="256"/>
      <c r="D41" s="257"/>
      <c r="E41" s="256"/>
      <c r="F41" s="256"/>
      <c r="G41" s="258"/>
      <c r="H41" s="259"/>
      <c r="I41" s="260"/>
      <c r="J41" s="260"/>
      <c r="K41" s="253"/>
      <c r="L41" s="253"/>
      <c r="M41" s="241"/>
      <c r="N41" s="261"/>
      <c r="O41" s="260"/>
      <c r="P41" s="260"/>
      <c r="Q41" s="260"/>
      <c r="R41" s="253"/>
      <c r="S41" s="241"/>
      <c r="T41" s="251"/>
      <c r="U41" s="258"/>
      <c r="V41" s="129"/>
      <c r="W41" s="129"/>
      <c r="X41" s="262"/>
      <c r="Y41" s="263"/>
      <c r="Z41" s="264"/>
      <c r="AA41" s="265"/>
    </row>
    <row r="42" spans="1:31" s="124" customFormat="1" ht="2.25" customHeight="1" x14ac:dyDescent="0.2">
      <c r="A42" s="266"/>
      <c r="B42" s="267"/>
      <c r="C42" s="267"/>
      <c r="D42" s="268"/>
      <c r="E42" s="267"/>
      <c r="F42" s="267"/>
      <c r="G42" s="269"/>
      <c r="H42" s="270"/>
      <c r="I42" s="271"/>
      <c r="J42" s="271"/>
      <c r="K42" s="271"/>
      <c r="L42" s="271"/>
      <c r="M42" s="272"/>
      <c r="N42" s="271"/>
      <c r="O42" s="271"/>
      <c r="P42" s="271"/>
      <c r="Q42" s="271"/>
      <c r="R42" s="271"/>
      <c r="S42" s="272"/>
      <c r="T42" s="273"/>
      <c r="U42" s="269"/>
      <c r="V42" s="273"/>
      <c r="W42" s="273"/>
      <c r="X42" s="269"/>
      <c r="Y42" s="274"/>
      <c r="Z42" s="273"/>
      <c r="AA42" s="275"/>
    </row>
    <row r="43" spans="1:31" s="289" customFormat="1" x14ac:dyDescent="0.2">
      <c r="A43" s="276"/>
      <c r="B43" s="277"/>
      <c r="C43" s="278">
        <f>SUM(C15:C40)</f>
        <v>54300</v>
      </c>
      <c r="D43" s="279">
        <f>+SUM(D15:D40)</f>
        <v>54300</v>
      </c>
      <c r="E43" s="278"/>
      <c r="F43" s="278">
        <f>SUM(F15:F40)</f>
        <v>0</v>
      </c>
      <c r="G43" s="280">
        <f>+SUM(G15:G40)</f>
        <v>0</v>
      </c>
      <c r="H43" s="281">
        <f>SUM(H16:H40)</f>
        <v>16407750</v>
      </c>
      <c r="I43" s="129"/>
      <c r="J43" s="129"/>
      <c r="K43" s="282">
        <f>SUM(K16:K40)</f>
        <v>16852266.877170827</v>
      </c>
      <c r="L43" s="282">
        <f>SUM(L16:L40)</f>
        <v>11428422.961262681</v>
      </c>
      <c r="M43" s="280">
        <f>+SUM(M16:M40)</f>
        <v>11738225.52768199</v>
      </c>
      <c r="N43" s="281">
        <f>SUM(N16:N40)</f>
        <v>633000</v>
      </c>
      <c r="O43" s="283"/>
      <c r="P43" s="283"/>
      <c r="Q43" s="282">
        <f>SUM(Q16:Q40)</f>
        <v>776166.35135135113</v>
      </c>
      <c r="R43" s="282">
        <f>SUM(R16:R40)</f>
        <v>440900.89954315958</v>
      </c>
      <c r="S43" s="280">
        <f>+SUM(S16:S40)</f>
        <v>529600.5357628488</v>
      </c>
      <c r="T43" s="281">
        <f>SUM(T16:T40)</f>
        <v>0</v>
      </c>
      <c r="U43" s="284">
        <f>+SUM(U16:U40)</f>
        <v>0</v>
      </c>
      <c r="V43" s="283"/>
      <c r="W43" s="285">
        <f>SUM(W15:W40)</f>
        <v>17682733.228522178</v>
      </c>
      <c r="X43" s="284">
        <f>+SUM(X15:X40)</f>
        <v>12322126.063444842</v>
      </c>
      <c r="Y43" s="286">
        <f>X43</f>
        <v>12322126.063444842</v>
      </c>
      <c r="Z43" s="287" t="s">
        <v>49</v>
      </c>
      <c r="AA43" s="288" t="s">
        <v>49</v>
      </c>
      <c r="AC43" s="289">
        <f>+SUM(AC15:AC40)</f>
        <v>17628433.228522178</v>
      </c>
      <c r="AD43" s="74"/>
      <c r="AE43" s="74"/>
    </row>
    <row r="44" spans="1:31" s="124" customFormat="1" ht="5.25" customHeight="1" thickBot="1" x14ac:dyDescent="0.25">
      <c r="A44" s="290"/>
      <c r="B44" s="291"/>
      <c r="C44" s="291"/>
      <c r="D44" s="292"/>
      <c r="E44" s="291"/>
      <c r="F44" s="291"/>
      <c r="G44" s="293"/>
      <c r="H44" s="291"/>
      <c r="I44" s="294"/>
      <c r="J44" s="294"/>
      <c r="K44" s="294"/>
      <c r="L44" s="294"/>
      <c r="M44" s="293"/>
      <c r="N44" s="294"/>
      <c r="O44" s="294"/>
      <c r="P44" s="294"/>
      <c r="Q44" s="294"/>
      <c r="R44" s="294"/>
      <c r="S44" s="293"/>
      <c r="T44" s="294"/>
      <c r="U44" s="293"/>
      <c r="V44" s="294"/>
      <c r="W44" s="294"/>
      <c r="X44" s="293"/>
      <c r="Y44" s="295"/>
      <c r="Z44" s="294"/>
      <c r="AA44" s="293"/>
    </row>
    <row r="45" spans="1:31" s="124" customFormat="1" ht="6" customHeight="1" x14ac:dyDescent="0.2">
      <c r="A45" s="129"/>
      <c r="B45" s="296"/>
      <c r="C45" s="296"/>
      <c r="D45" s="296"/>
      <c r="E45" s="296"/>
      <c r="F45" s="74"/>
      <c r="G45" s="74"/>
      <c r="H45" s="296"/>
      <c r="I45" s="74"/>
      <c r="J45" s="74"/>
      <c r="K45" s="74"/>
      <c r="L45" s="74"/>
      <c r="M45" s="74"/>
      <c r="N45" s="74"/>
      <c r="O45" s="74"/>
      <c r="P45" s="74"/>
      <c r="Q45" s="74"/>
      <c r="R45" s="74"/>
      <c r="S45" s="74"/>
      <c r="T45" s="74"/>
      <c r="U45" s="74"/>
      <c r="V45" s="74"/>
      <c r="W45" s="74"/>
      <c r="X45" s="74"/>
      <c r="AA45" s="141"/>
    </row>
    <row r="46" spans="1:31" x14ac:dyDescent="0.2">
      <c r="B46" s="297" t="s">
        <v>53</v>
      </c>
      <c r="C46" s="298" t="s">
        <v>1</v>
      </c>
      <c r="I46" s="299"/>
      <c r="J46" s="299"/>
      <c r="K46" s="309"/>
      <c r="M46" s="251"/>
      <c r="S46" s="300"/>
      <c r="U46" s="301"/>
      <c r="X46" s="302"/>
    </row>
    <row r="47" spans="1:31" x14ac:dyDescent="0.2">
      <c r="C47" s="304" t="s">
        <v>201</v>
      </c>
      <c r="M47" s="251"/>
      <c r="X47" s="302"/>
    </row>
    <row r="48" spans="1:31" x14ac:dyDescent="0.2">
      <c r="L48" s="305"/>
      <c r="X48" s="302"/>
      <c r="AD48" s="349"/>
      <c r="AE48" s="349"/>
    </row>
    <row r="49" spans="8:30" x14ac:dyDescent="0.2">
      <c r="H49" s="306"/>
      <c r="I49" s="347"/>
      <c r="L49" s="305"/>
      <c r="M49" s="251"/>
      <c r="AD49" s="348"/>
    </row>
    <row r="50" spans="8:30" x14ac:dyDescent="0.2">
      <c r="H50" s="255"/>
      <c r="M50" s="251"/>
      <c r="X50" s="307"/>
    </row>
    <row r="51" spans="8:30" x14ac:dyDescent="0.2">
      <c r="M51" s="308"/>
      <c r="X51" s="309"/>
    </row>
    <row r="52" spans="8:30" x14ac:dyDescent="0.2">
      <c r="H52" s="306"/>
      <c r="M52" s="308"/>
    </row>
    <row r="53" spans="8:30" x14ac:dyDescent="0.2">
      <c r="H53" s="306"/>
    </row>
    <row r="54" spans="8:30" x14ac:dyDescent="0.2">
      <c r="H54" s="310"/>
    </row>
    <row r="56" spans="8:30" x14ac:dyDescent="0.2">
      <c r="H56" s="311"/>
      <c r="M56" s="307"/>
    </row>
  </sheetData>
  <phoneticPr fontId="0" type="noConversion"/>
  <printOptions horizontalCentered="1"/>
  <pageMargins left="0.35" right="0.35" top="0.75" bottom="0.75" header="0.5" footer="0.5"/>
  <pageSetup paperSize="4" scale="70" orientation="landscape" horizontalDpi="4294967292"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E56"/>
  <sheetViews>
    <sheetView zoomScale="80" workbookViewId="0">
      <pane xSplit="1" topLeftCell="B1" activePane="topRight" state="frozenSplit"/>
      <selection activeCell="T4" sqref="T4"/>
      <selection pane="topRight"/>
    </sheetView>
  </sheetViews>
  <sheetFormatPr defaultRowHeight="12.75" x14ac:dyDescent="0.2"/>
  <cols>
    <col min="1" max="1" width="4.5703125" style="129" customWidth="1"/>
    <col min="2" max="3" width="12" style="296" customWidth="1"/>
    <col min="4" max="5" width="10.7109375" style="296" customWidth="1"/>
    <col min="6" max="7" width="11.140625" style="74" customWidth="1"/>
    <col min="8" max="8" width="12.5703125" style="296" customWidth="1"/>
    <col min="9" max="9" width="10.28515625" style="74" customWidth="1"/>
    <col min="10" max="10" width="10.28515625" style="74" hidden="1" customWidth="1"/>
    <col min="11" max="12" width="13.42578125" style="74" hidden="1" customWidth="1"/>
    <col min="13" max="13" width="14.7109375" style="74" customWidth="1"/>
    <col min="14" max="14" width="10.5703125" style="74" customWidth="1"/>
    <col min="15" max="15" width="11" style="74" customWidth="1"/>
    <col min="16" max="16" width="10.28515625" style="74" hidden="1" customWidth="1"/>
    <col min="17" max="17" width="11" style="74" hidden="1" customWidth="1"/>
    <col min="18" max="18" width="12.140625" style="74" hidden="1" customWidth="1"/>
    <col min="19" max="19" width="12" style="74" customWidth="1"/>
    <col min="20" max="20" width="11.28515625" style="74" customWidth="1"/>
    <col min="21" max="21" width="12.7109375" style="74" customWidth="1"/>
    <col min="22" max="22" width="6" style="74" customWidth="1"/>
    <col min="23" max="23" width="15.28515625" style="74" hidden="1" customWidth="1"/>
    <col min="24" max="24" width="16" style="74" customWidth="1"/>
    <col min="25" max="25" width="14.5703125" style="74" customWidth="1"/>
    <col min="26" max="26" width="14.42578125" style="74" customWidth="1"/>
    <col min="27" max="27" width="11.85546875" style="303" customWidth="1"/>
    <col min="28" max="28" width="9.140625" style="74"/>
    <col min="29" max="29" width="10" style="74" hidden="1" customWidth="1"/>
    <col min="30" max="16384" width="9.140625" style="74"/>
  </cols>
  <sheetData>
    <row r="1" spans="1:31" s="124" customFormat="1" ht="13.5" thickBot="1" x14ac:dyDescent="0.25">
      <c r="A1" s="139"/>
      <c r="B1" s="140"/>
      <c r="C1" s="140"/>
      <c r="D1" s="140"/>
      <c r="E1" s="140"/>
      <c r="H1" s="140"/>
      <c r="AA1" s="141"/>
    </row>
    <row r="2" spans="1:31" ht="5.25" customHeight="1" thickTop="1" x14ac:dyDescent="0.2">
      <c r="A2" s="142"/>
      <c r="B2" s="143"/>
      <c r="C2" s="143"/>
      <c r="D2" s="143"/>
      <c r="E2" s="143"/>
      <c r="F2" s="143"/>
      <c r="G2" s="143"/>
      <c r="H2" s="144"/>
      <c r="I2" s="144"/>
      <c r="J2" s="144"/>
      <c r="K2" s="144"/>
      <c r="L2" s="144"/>
      <c r="M2" s="144"/>
      <c r="N2" s="144"/>
      <c r="O2" s="144"/>
      <c r="P2" s="144"/>
      <c r="Q2" s="144"/>
      <c r="R2" s="144"/>
      <c r="S2" s="144"/>
      <c r="T2" s="144"/>
      <c r="U2" s="144"/>
      <c r="V2" s="144"/>
      <c r="W2" s="144"/>
      <c r="X2" s="145"/>
      <c r="Y2" s="146"/>
      <c r="Z2" s="144"/>
      <c r="AA2" s="145"/>
    </row>
    <row r="3" spans="1:31" ht="15.75" x14ac:dyDescent="0.25">
      <c r="A3" s="147"/>
      <c r="B3" s="69" t="s">
        <v>230</v>
      </c>
      <c r="C3" s="69"/>
      <c r="D3" s="148"/>
      <c r="E3" s="148"/>
      <c r="G3" s="149" t="s">
        <v>190</v>
      </c>
      <c r="H3" s="150" t="str">
        <f>'General Data'!A12&amp;"/"&amp;'General Data'!H12</f>
        <v>4/2015</v>
      </c>
      <c r="M3" s="151" t="s">
        <v>193</v>
      </c>
      <c r="N3" s="152">
        <f>N4-H4</f>
        <v>25</v>
      </c>
      <c r="R3" s="153"/>
      <c r="S3" s="149" t="s">
        <v>11</v>
      </c>
      <c r="T3" s="154">
        <f>'General Data'!H10</f>
        <v>2015</v>
      </c>
      <c r="V3" s="149" t="s">
        <v>12</v>
      </c>
      <c r="W3" s="149"/>
      <c r="X3" s="155" t="str">
        <f>IF('General Data'!$H$21=1,"Northeast",IF('General Data'!$H$21=2,"Midwest",IF('General Data'!$H$21=3,"South",IF('General Data'!$H$21=4,"West",IF('General Data'!$H$21=5,"United States Average","error")))))</f>
        <v>West</v>
      </c>
      <c r="Y3" s="156"/>
      <c r="Z3" s="157"/>
      <c r="AA3" s="155"/>
    </row>
    <row r="4" spans="1:31" ht="15.75" x14ac:dyDescent="0.25">
      <c r="A4" s="147"/>
      <c r="B4" s="69" t="s">
        <v>231</v>
      </c>
      <c r="C4" s="69"/>
      <c r="D4" s="148"/>
      <c r="E4" s="148"/>
      <c r="G4" s="158" t="s">
        <v>195</v>
      </c>
      <c r="H4" s="159">
        <f>'General Data'!H13-'General Data'!H12</f>
        <v>0</v>
      </c>
      <c r="M4" s="151" t="s">
        <v>194</v>
      </c>
      <c r="N4" s="160">
        <f>'General Data'!$H$18</f>
        <v>25</v>
      </c>
      <c r="R4" s="153"/>
      <c r="S4" s="151" t="s">
        <v>255</v>
      </c>
      <c r="T4" s="161">
        <f>'General Data'!H15</f>
        <v>0.03</v>
      </c>
      <c r="V4" s="149" t="s">
        <v>13</v>
      </c>
      <c r="W4" s="149"/>
      <c r="X4" s="155" t="str">
        <f>IF('General Data'!$H$24=1,"Residential",IF('General Data'!$H$24=2,"Commercial",IF('General Data'!$H$24=3,"Industrial","error")))</f>
        <v>Commercial</v>
      </c>
      <c r="Y4" s="156"/>
      <c r="Z4" s="157"/>
      <c r="AA4" s="155"/>
    </row>
    <row r="5" spans="1:31" ht="17.25" customHeight="1" thickBot="1" x14ac:dyDescent="0.25">
      <c r="A5" s="162"/>
      <c r="B5" s="163"/>
      <c r="C5" s="163"/>
      <c r="D5" s="163"/>
      <c r="E5" s="163"/>
      <c r="F5" s="163"/>
      <c r="G5" s="163"/>
      <c r="H5" s="163"/>
      <c r="I5" s="164"/>
      <c r="J5" s="164"/>
      <c r="K5" s="164"/>
      <c r="L5" s="164"/>
      <c r="M5" s="164"/>
      <c r="N5" s="164"/>
      <c r="O5" s="164"/>
      <c r="P5" s="164"/>
      <c r="Q5" s="164"/>
      <c r="R5" s="164"/>
      <c r="S5" s="350" t="s">
        <v>254</v>
      </c>
      <c r="T5" s="351">
        <f>'General Data'!H16</f>
        <v>0.03</v>
      </c>
      <c r="U5" s="164"/>
      <c r="V5" s="164"/>
      <c r="W5" s="164"/>
      <c r="X5" s="165"/>
      <c r="Y5" s="166"/>
      <c r="Z5" s="164"/>
      <c r="AA5" s="165"/>
    </row>
    <row r="6" spans="1:31" ht="5.25" customHeight="1" thickTop="1" x14ac:dyDescent="0.2">
      <c r="A6" s="167"/>
      <c r="B6" s="168"/>
      <c r="C6" s="168"/>
      <c r="D6" s="168"/>
      <c r="E6" s="168"/>
      <c r="F6" s="169"/>
      <c r="G6" s="170"/>
      <c r="H6" s="171"/>
      <c r="I6" s="172"/>
      <c r="J6" s="172"/>
      <c r="K6" s="172"/>
      <c r="L6" s="173"/>
      <c r="M6" s="174"/>
      <c r="N6" s="172"/>
      <c r="O6" s="172"/>
      <c r="P6" s="172"/>
      <c r="Q6" s="172"/>
      <c r="R6" s="173"/>
      <c r="S6" s="174"/>
      <c r="T6" s="172"/>
      <c r="U6" s="170"/>
      <c r="X6" s="174"/>
      <c r="Y6" s="175"/>
      <c r="Z6" s="124"/>
      <c r="AA6" s="174"/>
    </row>
    <row r="7" spans="1:31" x14ac:dyDescent="0.2">
      <c r="A7" s="176"/>
      <c r="B7" s="177" t="s">
        <v>14</v>
      </c>
      <c r="C7" s="177"/>
      <c r="D7" s="177"/>
      <c r="E7" s="177"/>
      <c r="F7" s="178"/>
      <c r="G7" s="179"/>
      <c r="H7" s="180" t="s">
        <v>15</v>
      </c>
      <c r="I7" s="181"/>
      <c r="J7" s="181"/>
      <c r="K7" s="181"/>
      <c r="L7" s="182"/>
      <c r="M7" s="183"/>
      <c r="N7" s="180" t="str">
        <f>IF('General Data'!$H$27=1,"NATURAL GAS COSTS",IF('General Data'!$H$27=2,"LPG FUEL COSTS",IF('General Data'!$H$27=3,"DISTILATE FUEL OIL COSTS",IF('General Data'!$H$27=4,"RESIDUAL FUEL OIL COSTS",IF('General Data'!$H$27=5,"COAL COSTS",IF('General Data'!$H$27=0,"NO 2ND FUEL USED","error?"))))))</f>
        <v>NATURAL GAS COSTS</v>
      </c>
      <c r="O7" s="181"/>
      <c r="P7" s="181"/>
      <c r="Q7" s="181"/>
      <c r="R7" s="182"/>
      <c r="S7" s="183"/>
      <c r="T7" s="180" t="s">
        <v>16</v>
      </c>
      <c r="U7" s="179"/>
      <c r="V7" s="180" t="s">
        <v>17</v>
      </c>
      <c r="W7" s="180"/>
      <c r="X7" s="183"/>
      <c r="Y7" s="184" t="s">
        <v>151</v>
      </c>
      <c r="Z7" s="177"/>
      <c r="AA7" s="185"/>
    </row>
    <row r="8" spans="1:31" x14ac:dyDescent="0.2">
      <c r="A8" s="176"/>
      <c r="B8" s="177"/>
      <c r="C8" s="177"/>
      <c r="D8" s="177"/>
      <c r="E8" s="177"/>
      <c r="F8" s="178"/>
      <c r="G8" s="179"/>
      <c r="H8" s="180" t="s">
        <v>18</v>
      </c>
      <c r="I8" s="181"/>
      <c r="J8" s="181"/>
      <c r="K8" s="181"/>
      <c r="L8" s="182"/>
      <c r="M8" s="183"/>
      <c r="N8" s="180" t="s">
        <v>18</v>
      </c>
      <c r="O8" s="181"/>
      <c r="P8" s="181"/>
      <c r="Q8" s="181"/>
      <c r="R8" s="182"/>
      <c r="S8" s="183"/>
      <c r="T8" s="180" t="s">
        <v>19</v>
      </c>
      <c r="U8" s="179"/>
      <c r="V8" s="180" t="s">
        <v>18</v>
      </c>
      <c r="W8" s="180"/>
      <c r="X8" s="186"/>
      <c r="Y8" s="187" t="s">
        <v>20</v>
      </c>
      <c r="Z8" s="188" t="s">
        <v>21</v>
      </c>
      <c r="AA8" s="189" t="s">
        <v>54</v>
      </c>
      <c r="AC8" s="190" t="s">
        <v>61</v>
      </c>
    </row>
    <row r="9" spans="1:31" ht="6" customHeight="1" x14ac:dyDescent="0.2">
      <c r="A9" s="176"/>
      <c r="B9" s="177"/>
      <c r="C9" s="177"/>
      <c r="D9" s="177"/>
      <c r="E9" s="177"/>
      <c r="F9" s="178"/>
      <c r="G9" s="179"/>
      <c r="H9" s="180"/>
      <c r="I9" s="181"/>
      <c r="J9" s="181"/>
      <c r="K9" s="181"/>
      <c r="L9" s="182"/>
      <c r="M9" s="183"/>
      <c r="N9" s="180"/>
      <c r="O9" s="181"/>
      <c r="P9" s="181"/>
      <c r="Q9" s="181"/>
      <c r="R9" s="182"/>
      <c r="S9" s="183"/>
      <c r="T9" s="180"/>
      <c r="U9" s="179"/>
      <c r="V9" s="180"/>
      <c r="W9" s="180"/>
      <c r="X9" s="183"/>
      <c r="Y9" s="191"/>
      <c r="Z9" s="192"/>
      <c r="AA9" s="183"/>
      <c r="AC9" s="190"/>
    </row>
    <row r="10" spans="1:31" s="198" customFormat="1" x14ac:dyDescent="0.2">
      <c r="A10" s="176"/>
      <c r="B10" s="153"/>
      <c r="C10" s="193" t="s">
        <v>22</v>
      </c>
      <c r="D10" s="193"/>
      <c r="E10" s="193"/>
      <c r="F10" s="188" t="s">
        <v>23</v>
      </c>
      <c r="G10" s="170"/>
      <c r="H10" s="194" t="s">
        <v>24</v>
      </c>
      <c r="I10" s="194" t="str">
        <f>'DOE Fuel Esc Rates'!H8</f>
        <v>Electric</v>
      </c>
      <c r="J10" s="194" t="str">
        <f>I10</f>
        <v>Electric</v>
      </c>
      <c r="K10" s="194" t="s">
        <v>25</v>
      </c>
      <c r="L10" s="173" t="s">
        <v>26</v>
      </c>
      <c r="M10" s="195" t="s">
        <v>26</v>
      </c>
      <c r="N10" s="194" t="s">
        <v>24</v>
      </c>
      <c r="O10" s="194" t="str">
        <f>'DOE Fuel Esc Rates'!$W$5</f>
        <v>Nat Gas</v>
      </c>
      <c r="P10" s="194" t="str">
        <f>O10</f>
        <v>Nat Gas</v>
      </c>
      <c r="Q10" s="194" t="s">
        <v>25</v>
      </c>
      <c r="R10" s="173" t="s">
        <v>26</v>
      </c>
      <c r="S10" s="195" t="s">
        <v>26</v>
      </c>
      <c r="T10" s="194" t="s">
        <v>24</v>
      </c>
      <c r="U10" s="195" t="s">
        <v>26</v>
      </c>
      <c r="V10" s="172"/>
      <c r="W10" s="194" t="s">
        <v>173</v>
      </c>
      <c r="X10" s="195" t="s">
        <v>26</v>
      </c>
      <c r="Y10" s="196" t="s">
        <v>26</v>
      </c>
      <c r="Z10" s="197" t="s">
        <v>26</v>
      </c>
      <c r="AA10" s="195"/>
      <c r="AB10" s="74"/>
      <c r="AC10" s="190" t="s">
        <v>173</v>
      </c>
    </row>
    <row r="11" spans="1:31" s="198" customFormat="1" x14ac:dyDescent="0.2">
      <c r="A11" s="176"/>
      <c r="B11" s="199"/>
      <c r="C11" s="200" t="s">
        <v>27</v>
      </c>
      <c r="D11" s="201"/>
      <c r="E11" s="201"/>
      <c r="F11" s="200" t="s">
        <v>28</v>
      </c>
      <c r="G11" s="179"/>
      <c r="H11" s="194" t="s">
        <v>29</v>
      </c>
      <c r="I11" s="194" t="s">
        <v>30</v>
      </c>
      <c r="J11" s="194" t="s">
        <v>200</v>
      </c>
      <c r="K11" s="173" t="s">
        <v>31</v>
      </c>
      <c r="L11" s="173" t="s">
        <v>31</v>
      </c>
      <c r="M11" s="195" t="s">
        <v>32</v>
      </c>
      <c r="N11" s="194" t="s">
        <v>29</v>
      </c>
      <c r="O11" s="194" t="s">
        <v>30</v>
      </c>
      <c r="P11" s="194" t="s">
        <v>200</v>
      </c>
      <c r="Q11" s="173" t="s">
        <v>31</v>
      </c>
      <c r="R11" s="173" t="s">
        <v>31</v>
      </c>
      <c r="S11" s="195" t="str">
        <f>O10</f>
        <v>Nat Gas</v>
      </c>
      <c r="T11" s="194" t="s">
        <v>29</v>
      </c>
      <c r="U11" s="202" t="s">
        <v>29</v>
      </c>
      <c r="V11" s="172"/>
      <c r="W11" s="203" t="s">
        <v>34</v>
      </c>
      <c r="X11" s="202" t="s">
        <v>34</v>
      </c>
      <c r="Y11" s="204" t="s">
        <v>152</v>
      </c>
      <c r="Z11" s="203" t="s">
        <v>152</v>
      </c>
      <c r="AA11" s="202" t="s">
        <v>26</v>
      </c>
      <c r="AC11" s="190" t="s">
        <v>182</v>
      </c>
    </row>
    <row r="12" spans="1:31" s="198" customFormat="1" x14ac:dyDescent="0.2">
      <c r="A12" s="176" t="s">
        <v>41</v>
      </c>
      <c r="B12" s="205" t="s">
        <v>35</v>
      </c>
      <c r="C12" s="206"/>
      <c r="D12" s="207" t="s">
        <v>26</v>
      </c>
      <c r="E12" s="205" t="s">
        <v>35</v>
      </c>
      <c r="F12" s="206"/>
      <c r="G12" s="208" t="s">
        <v>26</v>
      </c>
      <c r="H12" s="173" t="s">
        <v>32</v>
      </c>
      <c r="I12" s="194" t="s">
        <v>36</v>
      </c>
      <c r="J12" s="194" t="s">
        <v>36</v>
      </c>
      <c r="K12" s="173" t="s">
        <v>37</v>
      </c>
      <c r="L12" s="173" t="s">
        <v>38</v>
      </c>
      <c r="M12" s="209" t="s">
        <v>39</v>
      </c>
      <c r="N12" s="194" t="str">
        <f>O10</f>
        <v>Nat Gas</v>
      </c>
      <c r="O12" s="194" t="s">
        <v>36</v>
      </c>
      <c r="P12" s="194" t="s">
        <v>36</v>
      </c>
      <c r="Q12" s="173" t="s">
        <v>37</v>
      </c>
      <c r="R12" s="173" t="s">
        <v>38</v>
      </c>
      <c r="S12" s="209" t="s">
        <v>39</v>
      </c>
      <c r="T12" s="210" t="s">
        <v>40</v>
      </c>
      <c r="U12" s="179"/>
      <c r="V12" s="194" t="s">
        <v>41</v>
      </c>
      <c r="W12" s="203" t="s">
        <v>42</v>
      </c>
      <c r="X12" s="202" t="s">
        <v>42</v>
      </c>
      <c r="Y12" s="204" t="s">
        <v>42</v>
      </c>
      <c r="Z12" s="203" t="s">
        <v>43</v>
      </c>
      <c r="AA12" s="211" t="s">
        <v>54</v>
      </c>
      <c r="AC12" s="190" t="s">
        <v>42</v>
      </c>
    </row>
    <row r="13" spans="1:31" s="198" customFormat="1" x14ac:dyDescent="0.2">
      <c r="A13" s="176" t="s">
        <v>188</v>
      </c>
      <c r="B13" s="212" t="s">
        <v>44</v>
      </c>
      <c r="C13" s="213" t="s">
        <v>45</v>
      </c>
      <c r="D13" s="214" t="s">
        <v>46</v>
      </c>
      <c r="E13" s="212" t="s">
        <v>44</v>
      </c>
      <c r="F13" s="213" t="s">
        <v>45</v>
      </c>
      <c r="G13" s="211" t="s">
        <v>46</v>
      </c>
      <c r="H13" s="212" t="s">
        <v>45</v>
      </c>
      <c r="I13" s="215" t="s">
        <v>47</v>
      </c>
      <c r="J13" s="215" t="s">
        <v>47</v>
      </c>
      <c r="K13" s="216" t="s">
        <v>46</v>
      </c>
      <c r="L13" s="216" t="s">
        <v>46</v>
      </c>
      <c r="M13" s="211" t="s">
        <v>46</v>
      </c>
      <c r="N13" s="215" t="s">
        <v>45</v>
      </c>
      <c r="O13" s="215" t="s">
        <v>47</v>
      </c>
      <c r="P13" s="215" t="s">
        <v>47</v>
      </c>
      <c r="Q13" s="216" t="s">
        <v>46</v>
      </c>
      <c r="R13" s="216" t="s">
        <v>46</v>
      </c>
      <c r="S13" s="211" t="s">
        <v>46</v>
      </c>
      <c r="T13" s="215" t="s">
        <v>45</v>
      </c>
      <c r="U13" s="211" t="s">
        <v>46</v>
      </c>
      <c r="V13" s="194" t="s">
        <v>186</v>
      </c>
      <c r="W13" s="213" t="s">
        <v>174</v>
      </c>
      <c r="X13" s="211" t="s">
        <v>46</v>
      </c>
      <c r="Y13" s="217" t="s">
        <v>46</v>
      </c>
      <c r="Z13" s="218" t="s">
        <v>46</v>
      </c>
      <c r="AA13" s="219" t="s">
        <v>55</v>
      </c>
    </row>
    <row r="14" spans="1:31" ht="3.75" customHeight="1" x14ac:dyDescent="0.2">
      <c r="A14" s="220"/>
      <c r="B14" s="221"/>
      <c r="C14" s="222"/>
      <c r="D14" s="223"/>
      <c r="E14" s="221"/>
      <c r="F14" s="222"/>
      <c r="G14" s="224"/>
      <c r="H14" s="221"/>
      <c r="I14" s="129"/>
      <c r="J14" s="129"/>
      <c r="K14" s="129"/>
      <c r="L14" s="225"/>
      <c r="M14" s="174"/>
      <c r="N14" s="129"/>
      <c r="O14" s="129"/>
      <c r="P14" s="129"/>
      <c r="Q14" s="129"/>
      <c r="S14" s="174"/>
      <c r="U14" s="174"/>
      <c r="V14" s="129"/>
      <c r="W14" s="129"/>
      <c r="X14" s="174"/>
      <c r="Y14" s="175"/>
      <c r="Z14" s="124"/>
      <c r="AA14" s="174"/>
      <c r="AB14" s="198"/>
      <c r="AC14" s="198"/>
      <c r="AE14" s="198"/>
    </row>
    <row r="15" spans="1:31" x14ac:dyDescent="0.2">
      <c r="A15" s="226">
        <v>0</v>
      </c>
      <c r="B15" s="50" t="s">
        <v>48</v>
      </c>
      <c r="C15" s="50">
        <v>74880</v>
      </c>
      <c r="D15" s="227">
        <f>$C15/(1+disc)^$A15</f>
        <v>74880</v>
      </c>
      <c r="E15" s="228" t="s">
        <v>49</v>
      </c>
      <c r="F15" s="229" t="s">
        <v>49</v>
      </c>
      <c r="G15" s="230" t="s">
        <v>49</v>
      </c>
      <c r="H15" s="52">
        <v>630000</v>
      </c>
      <c r="I15" s="78" t="str">
        <f>IF('General Data'!$H$30="","",'General Data'!$H$30)</f>
        <v/>
      </c>
      <c r="J15" s="78"/>
      <c r="K15" s="231">
        <f>IF(A16=1,1,VLOOKUP(A16-1,'DOE Fuel Esc Rates'!T9:AB13,8,TRUE))</f>
        <v>1</v>
      </c>
      <c r="L15" s="232"/>
      <c r="M15" s="233"/>
      <c r="N15" s="53">
        <v>25380</v>
      </c>
      <c r="O15" s="78" t="str">
        <f>IF('General Data'!$H$31="","",'General Data'!$H$31)</f>
        <v/>
      </c>
      <c r="P15" s="78"/>
      <c r="Q15" s="234">
        <f>IF(A16=1,1,VLOOKUP(A16-1,'DOE Fuel Esc Rates'!T9:AB13,9,TRUE))</f>
        <v>1</v>
      </c>
      <c r="R15" s="232"/>
      <c r="S15" s="233"/>
      <c r="T15" s="53">
        <v>0</v>
      </c>
      <c r="U15" s="233"/>
      <c r="V15" s="235"/>
      <c r="W15" s="236">
        <f>+D15+M15+S15+U15</f>
        <v>74880</v>
      </c>
      <c r="X15" s="237">
        <f>+D15+M15+S15+U15</f>
        <v>74880</v>
      </c>
      <c r="Y15" s="238">
        <f>SUM(X$15:X15)</f>
        <v>74880</v>
      </c>
      <c r="Z15" s="236">
        <f>LCC0!Y15-Y15</f>
        <v>-20580</v>
      </c>
      <c r="AA15" s="237"/>
      <c r="AB15" s="198"/>
      <c r="AC15" s="198"/>
      <c r="AE15" s="198"/>
    </row>
    <row r="16" spans="1:31" x14ac:dyDescent="0.2">
      <c r="A16" s="239">
        <f>IF(ROW(A16)-ROW($A$15)+$H$4&lt;=$N$4,A15+1+$H$4,"")</f>
        <v>1</v>
      </c>
      <c r="B16" s="51"/>
      <c r="C16" s="51">
        <v>0</v>
      </c>
      <c r="D16" s="240">
        <f>IF($A16&lt;&gt;"",$C16/((1+$T$5)^$A16),"")</f>
        <v>0</v>
      </c>
      <c r="E16" s="51"/>
      <c r="F16" s="51">
        <v>0</v>
      </c>
      <c r="G16" s="241">
        <f t="shared" ref="G16:G40" si="0">IF($A16&lt;&gt;"",$F16/((1+disc)^$A16),"")</f>
        <v>0</v>
      </c>
      <c r="H16" s="242">
        <f>IF($A16&lt;=$N$4,H$15*'General Data'!$S8,"")</f>
        <v>630000</v>
      </c>
      <c r="I16" s="243">
        <f>IF(A16&lt;&gt;"",IF(I$15="",VLOOKUP(A16,'DOE Fuel Esc Rates'!$T$9:$W$38,3,TRUE),I$15),"")</f>
        <v>2.7786548784338283E-2</v>
      </c>
      <c r="J16" s="243">
        <f>((1+I16)*(1+'General Data'!$M$25))-1</f>
        <v>2.8814335333122498E-2</v>
      </c>
      <c r="K16" s="244">
        <f>IF(H16&lt;&gt;"",H16*(1+I16)*K15,"")</f>
        <v>647505.52573413309</v>
      </c>
      <c r="L16" s="244">
        <f t="shared" ref="L16:L40" si="1">IF(H16&lt;&gt;"",H16/(1+disc)^$A16,"")</f>
        <v>611650.48543689318</v>
      </c>
      <c r="M16" s="241">
        <f t="shared" ref="M16:M40" si="2">IF(H16&lt;&gt;"",K16/(1+disc)^$A16,"")</f>
        <v>628646.14148944954</v>
      </c>
      <c r="N16" s="242">
        <f>IF($A16&lt;=$N$4,N$15*'General Data'!$S8,"")</f>
        <v>25380</v>
      </c>
      <c r="O16" s="243">
        <f>IF(A16&lt;&gt;"",IF(O$15="",VLOOKUP(A16,'DOE Fuel Esc Rates'!$T$9:$W$38,4,TRUE),O$15),"")</f>
        <v>1.2387387387387427E-2</v>
      </c>
      <c r="P16" s="243">
        <f>((1+O16)*(1+'General Data'!$M$25))-1</f>
        <v>1.339977477477472E-2</v>
      </c>
      <c r="Q16" s="244">
        <f>IF(N16&lt;&gt;"",N16*(1+O16)*Q15,"")</f>
        <v>25694.391891891893</v>
      </c>
      <c r="R16" s="244">
        <f t="shared" ref="R16:R40" si="3">IF(N16&lt;&gt;"",N16/(1+disc)^$A16,"")</f>
        <v>24640.776699029124</v>
      </c>
      <c r="S16" s="241">
        <f t="shared" ref="S16:S40" si="4">IF(N16&lt;&gt;"",Q16/((1+disc)^$A16),"")</f>
        <v>24946.011545526111</v>
      </c>
      <c r="T16" s="242">
        <f t="shared" ref="T16:T40" si="5">IF($A16&lt;=$N$4,T$15,"")</f>
        <v>0</v>
      </c>
      <c r="U16" s="245">
        <f t="shared" ref="U16:U40" si="6">IF(T16&lt;&gt;"",T16/(1+disc)^A16,"")</f>
        <v>0</v>
      </c>
      <c r="V16" s="246">
        <f>IF($A16&lt;=$N$4,VLOOKUP(A16,'DOE Fuel Esc Rates'!$T$9:$W$38,2,TRUE),"")</f>
        <v>2015</v>
      </c>
      <c r="W16" s="247">
        <f t="shared" ref="W16:W40" si="7">IF(A16&lt;&gt;"",SUM(C16,F16,K16,Q16,T16),"")</f>
        <v>673199.91762602492</v>
      </c>
      <c r="X16" s="241">
        <f t="shared" ref="X16:X40" si="8">IF(A16&lt;&gt;"",SUM(D16,G16,M16,S16,U16),"")</f>
        <v>653592.15303497564</v>
      </c>
      <c r="Y16" s="248">
        <f>IF(A16&lt;&gt;"",SUM(X$15:X16),"")</f>
        <v>728472.15303497564</v>
      </c>
      <c r="Z16" s="249">
        <f>IF(A16&lt;&gt;"",LCC0!Y16-Y16,"")</f>
        <v>5614.4862672551535</v>
      </c>
      <c r="AA16" s="312">
        <f>IF(A16&lt;&gt;"",IF(Z16&gt;0,A15+(-Z15)/(Z16-Z15),""),"")</f>
        <v>0.78566152395690869</v>
      </c>
      <c r="AB16" s="198"/>
      <c r="AC16" s="251">
        <f t="shared" ref="AC16:AC40" si="9">SUM(K16,Q16)</f>
        <v>673199.91762602492</v>
      </c>
      <c r="AE16" s="198"/>
    </row>
    <row r="17" spans="1:31" x14ac:dyDescent="0.2">
      <c r="A17" s="176">
        <f>IF(ROW(A17)-ROW($A$15)+$H$4&lt;=$N$4,A16+1,"")</f>
        <v>2</v>
      </c>
      <c r="B17" s="56"/>
      <c r="C17" s="51">
        <v>0</v>
      </c>
      <c r="D17" s="252">
        <f t="shared" ref="D17:D40" si="10">IF($A17&lt;&gt;"",$C17/((1+$T$5)^$A17),"")</f>
        <v>0</v>
      </c>
      <c r="E17" s="56"/>
      <c r="F17" s="51">
        <v>0</v>
      </c>
      <c r="G17" s="241">
        <f t="shared" si="0"/>
        <v>0</v>
      </c>
      <c r="H17" s="242">
        <f>IF($A17&lt;=$N$4,H$15*'General Data'!$S9,"")</f>
        <v>630000</v>
      </c>
      <c r="I17" s="243">
        <f>IF(A17&lt;&gt;"",IF(I$15="",VLOOKUP(A17,'DOE Fuel Esc Rates'!$T$9:$W$38,3,TRUE),I$15),"")</f>
        <v>1.3824884792626779E-2</v>
      </c>
      <c r="J17" s="243">
        <f>((1+I17)*(1+'General Data'!$M$25))-1</f>
        <v>1.4838709677419404E-2</v>
      </c>
      <c r="K17" s="253">
        <f t="shared" ref="K17:K40" si="11">IF(H17&lt;&gt;"",K16*(1+I17),"")</f>
        <v>656457.2150299967</v>
      </c>
      <c r="L17" s="253">
        <f t="shared" si="1"/>
        <v>593835.42275426525</v>
      </c>
      <c r="M17" s="241">
        <f t="shared" si="2"/>
        <v>618773.8854086122</v>
      </c>
      <c r="N17" s="242">
        <f>IF($A17&lt;=$N$4,N$15*'General Data'!$S9,"")</f>
        <v>25380</v>
      </c>
      <c r="O17" s="243">
        <f>IF(A17&lt;&gt;"",IF(O$15="",VLOOKUP(A17,'DOE Fuel Esc Rates'!$T$9:$W$38,4,TRUE),O$15),"")</f>
        <v>1.1123470522802492E-3</v>
      </c>
      <c r="P17" s="243">
        <f>((1+O17)*(1+'General Data'!$M$25))-1</f>
        <v>2.1134593993323847E-3</v>
      </c>
      <c r="Q17" s="253">
        <f t="shared" ref="Q17:Q40" si="12">IF(N17&lt;&gt;"",Q16*(1+O17),"")</f>
        <v>25722.972972972973</v>
      </c>
      <c r="R17" s="253">
        <f t="shared" si="3"/>
        <v>23923.084173814688</v>
      </c>
      <c r="S17" s="241">
        <f t="shared" si="4"/>
        <v>24246.369095082453</v>
      </c>
      <c r="T17" s="242">
        <f t="shared" si="5"/>
        <v>0</v>
      </c>
      <c r="U17" s="245">
        <f t="shared" si="6"/>
        <v>0</v>
      </c>
      <c r="V17" s="246">
        <f>IF($A17&lt;=$N$4,VLOOKUP(A17,'DOE Fuel Esc Rates'!$T$9:$W$38,2,TRUE),"")</f>
        <v>2016</v>
      </c>
      <c r="W17" s="247">
        <f t="shared" si="7"/>
        <v>682180.18800296972</v>
      </c>
      <c r="X17" s="241">
        <f t="shared" si="8"/>
        <v>643020.2545036946</v>
      </c>
      <c r="Y17" s="248">
        <f>IF(A17&lt;&gt;"",SUM(X$15:X17),"")</f>
        <v>1371492.4075386701</v>
      </c>
      <c r="Z17" s="249">
        <f>IF(A17&lt;&gt;"",LCC0!Y17-Y17,"")</f>
        <v>31398.342317342293</v>
      </c>
      <c r="AA17" s="312" t="str">
        <f>IF(A17&lt;&gt;"",IF(Z17&gt;0,IF(SUM(AA$16:AA16)=0,A16+(-Z16)/(Z17-Z16),""),""),"")</f>
        <v/>
      </c>
      <c r="AB17" s="198"/>
      <c r="AC17" s="251">
        <f t="shared" si="9"/>
        <v>682180.18800296972</v>
      </c>
      <c r="AE17" s="198"/>
    </row>
    <row r="18" spans="1:31" x14ac:dyDescent="0.2">
      <c r="A18" s="176">
        <f t="shared" ref="A18:A40" si="13">IF(ROW(A18)-ROW($A$15)+$H$4&lt;=$N$4,A17+1,"")</f>
        <v>3</v>
      </c>
      <c r="B18" s="56"/>
      <c r="C18" s="51">
        <v>0</v>
      </c>
      <c r="D18" s="252">
        <f t="shared" si="10"/>
        <v>0</v>
      </c>
      <c r="E18" s="56"/>
      <c r="F18" s="51">
        <v>0</v>
      </c>
      <c r="G18" s="241">
        <f t="shared" si="0"/>
        <v>0</v>
      </c>
      <c r="H18" s="242">
        <f>IF($A18&lt;=$N$4,H$15*'General Data'!$S10,"")</f>
        <v>630000</v>
      </c>
      <c r="I18" s="243">
        <f>IF(A18&lt;&gt;"",IF(I$15="",VLOOKUP(A18,'DOE Fuel Esc Rates'!$T$9:$W$38,3,TRUE),I$15),"")</f>
        <v>-1.0606060606060619E-2</v>
      </c>
      <c r="J18" s="243">
        <f>((1+I18)*(1+'General Data'!$M$25))-1</f>
        <v>-9.6166666666668288E-3</v>
      </c>
      <c r="K18" s="253">
        <f t="shared" si="11"/>
        <v>649494.79002210277</v>
      </c>
      <c r="L18" s="253">
        <f t="shared" si="1"/>
        <v>576539.24539249053</v>
      </c>
      <c r="M18" s="241">
        <f t="shared" si="2"/>
        <v>594379.73988205905</v>
      </c>
      <c r="N18" s="242">
        <f>IF($A18&lt;=$N$4,N$15*'General Data'!$S10,"")</f>
        <v>25380</v>
      </c>
      <c r="O18" s="243">
        <f>IF(A18&lt;&gt;"",IF(O$15="",VLOOKUP(A18,'DOE Fuel Esc Rates'!$T$9:$W$38,4,TRUE),O$15),"")</f>
        <v>-1.1111111111110628E-3</v>
      </c>
      <c r="P18" s="243">
        <f>((1+O18)*(1+'General Data'!$M$25))-1</f>
        <v>-1.1222222222229128E-4</v>
      </c>
      <c r="Q18" s="253">
        <f t="shared" si="12"/>
        <v>25694.391891891893</v>
      </c>
      <c r="R18" s="253">
        <f t="shared" si="3"/>
        <v>23226.295314383191</v>
      </c>
      <c r="S18" s="241">
        <f t="shared" si="4"/>
        <v>23514.008432016315</v>
      </c>
      <c r="T18" s="242">
        <f t="shared" si="5"/>
        <v>0</v>
      </c>
      <c r="U18" s="245">
        <f t="shared" si="6"/>
        <v>0</v>
      </c>
      <c r="V18" s="246">
        <f>IF($A18&lt;=$N$4,VLOOKUP(A18,'DOE Fuel Esc Rates'!$T$9:$W$38,2,TRUE),"")</f>
        <v>2017</v>
      </c>
      <c r="W18" s="247">
        <f t="shared" si="7"/>
        <v>675189.18191399472</v>
      </c>
      <c r="X18" s="241">
        <f t="shared" si="8"/>
        <v>617893.7483140754</v>
      </c>
      <c r="Y18" s="248">
        <f>IF(A18&lt;&gt;"",SUM(X$15:X18),"")</f>
        <v>1989386.1558527455</v>
      </c>
      <c r="Z18" s="249">
        <f>IF(A18&lt;&gt;"",LCC0!Y18-Y18,"")</f>
        <v>56165.183734286577</v>
      </c>
      <c r="AA18" s="312" t="str">
        <f>IF(A18&lt;&gt;"",IF(Z18&gt;0,IF(SUM(AA$16:AA17)=0,A17+(-Z17)/(Z18-Z17),""),""),"")</f>
        <v/>
      </c>
      <c r="AB18" s="198"/>
      <c r="AC18" s="251">
        <f t="shared" si="9"/>
        <v>675189.18191399472</v>
      </c>
      <c r="AE18" s="198"/>
    </row>
    <row r="19" spans="1:31" x14ac:dyDescent="0.2">
      <c r="A19" s="176">
        <f t="shared" si="13"/>
        <v>4</v>
      </c>
      <c r="B19" s="56"/>
      <c r="C19" s="51">
        <v>0</v>
      </c>
      <c r="D19" s="252">
        <f t="shared" si="10"/>
        <v>0</v>
      </c>
      <c r="E19" s="56"/>
      <c r="F19" s="51">
        <v>0</v>
      </c>
      <c r="G19" s="241">
        <f t="shared" si="0"/>
        <v>0</v>
      </c>
      <c r="H19" s="242">
        <f>IF($A19&lt;=$N$4,H$15*'General Data'!$S11,"")</f>
        <v>630000</v>
      </c>
      <c r="I19" s="243">
        <f>IF(A19&lt;&gt;"",IF(I$15="",VLOOKUP(A19,'DOE Fuel Esc Rates'!$T$9:$W$38,3,TRUE),I$15),"")</f>
        <v>-7.9632465543644226E-3</v>
      </c>
      <c r="J19" s="243">
        <f>((1+I19)*(1+'General Data'!$M$25))-1</f>
        <v>-6.9712098009189205E-3</v>
      </c>
      <c r="K19" s="253">
        <f t="shared" si="11"/>
        <v>644322.70287338167</v>
      </c>
      <c r="L19" s="253">
        <f t="shared" si="1"/>
        <v>559746.84018688404</v>
      </c>
      <c r="M19" s="241">
        <f t="shared" si="2"/>
        <v>572472.37618102843</v>
      </c>
      <c r="N19" s="242">
        <f>IF($A19&lt;=$N$4,N$15*'General Data'!$S11,"")</f>
        <v>25380</v>
      </c>
      <c r="O19" s="243">
        <f>IF(A19&lt;&gt;"",IF(O$15="",VLOOKUP(A19,'DOE Fuel Esc Rates'!$T$9:$W$38,4,TRUE),O$15),"")</f>
        <v>3.6707452725250223E-2</v>
      </c>
      <c r="P19" s="243">
        <f>((1+O19)*(1+'General Data'!$M$25))-1</f>
        <v>3.7744160177975328E-2</v>
      </c>
      <c r="Q19" s="253">
        <f t="shared" si="12"/>
        <v>26637.567567567567</v>
      </c>
      <c r="R19" s="253">
        <f t="shared" si="3"/>
        <v>22549.801276100185</v>
      </c>
      <c r="S19" s="241">
        <f t="shared" si="4"/>
        <v>23667.133771762808</v>
      </c>
      <c r="T19" s="242">
        <f t="shared" si="5"/>
        <v>0</v>
      </c>
      <c r="U19" s="245">
        <f t="shared" si="6"/>
        <v>0</v>
      </c>
      <c r="V19" s="246">
        <f>IF($A19&lt;=$N$4,VLOOKUP(A19,'DOE Fuel Esc Rates'!$T$9:$W$38,2,TRUE),"")</f>
        <v>2018</v>
      </c>
      <c r="W19" s="247">
        <f t="shared" si="7"/>
        <v>670960.27044094924</v>
      </c>
      <c r="X19" s="241">
        <f t="shared" si="8"/>
        <v>596139.50995279127</v>
      </c>
      <c r="Y19" s="248">
        <f>IF(A19&lt;&gt;"",SUM(X$15:X19),"")</f>
        <v>2585525.6658055368</v>
      </c>
      <c r="Z19" s="249">
        <f>IF(A19&lt;&gt;"",LCC0!Y19-Y19,"")</f>
        <v>80016.769916324876</v>
      </c>
      <c r="AA19" s="312" t="str">
        <f>IF(A19&lt;&gt;"",IF(Z19&gt;0,IF(SUM(AA$16:AA18)=0,A18+(-Z18)/(Z19-Z18),""),""),"")</f>
        <v/>
      </c>
      <c r="AB19" s="198"/>
      <c r="AC19" s="251">
        <f t="shared" si="9"/>
        <v>670960.27044094924</v>
      </c>
      <c r="AE19" s="198"/>
    </row>
    <row r="20" spans="1:31" x14ac:dyDescent="0.2">
      <c r="A20" s="176">
        <f t="shared" si="13"/>
        <v>5</v>
      </c>
      <c r="B20" s="56"/>
      <c r="C20" s="51">
        <v>0</v>
      </c>
      <c r="D20" s="252">
        <f t="shared" si="10"/>
        <v>0</v>
      </c>
      <c r="E20" s="56"/>
      <c r="F20" s="51">
        <v>0</v>
      </c>
      <c r="G20" s="241">
        <f t="shared" si="0"/>
        <v>0</v>
      </c>
      <c r="H20" s="242">
        <f>IF($A20&lt;=$N$4,H$15*'General Data'!$S12,"")</f>
        <v>630000</v>
      </c>
      <c r="I20" s="243">
        <f>IF(A20&lt;&gt;"",IF(I$15="",VLOOKUP(A20,'DOE Fuel Esc Rates'!$T$9:$W$38,3,TRUE),I$15),"")</f>
        <v>6.1747452917559897E-4</v>
      </c>
      <c r="J20" s="243">
        <f>((1+I20)*(1+'General Data'!$M$25))-1</f>
        <v>1.6180920037047741E-3</v>
      </c>
      <c r="K20" s="253">
        <f t="shared" si="11"/>
        <v>644720.55573097558</v>
      </c>
      <c r="L20" s="253">
        <f t="shared" si="1"/>
        <v>543443.53416202334</v>
      </c>
      <c r="M20" s="241">
        <f t="shared" si="2"/>
        <v>556141.61484657961</v>
      </c>
      <c r="N20" s="242">
        <f>IF($A20&lt;=$N$4,N$15*'General Data'!$S12,"")</f>
        <v>25380</v>
      </c>
      <c r="O20" s="243">
        <f>IF(A20&lt;&gt;"",IF(O$15="",VLOOKUP(A20,'DOE Fuel Esc Rates'!$T$9:$W$38,4,TRUE),O$15),"")</f>
        <v>4.7210300429184393E-2</v>
      </c>
      <c r="P20" s="243">
        <f>((1+O20)*(1+'General Data'!$M$25))-1</f>
        <v>4.8257510729613484E-2</v>
      </c>
      <c r="Q20" s="253">
        <f t="shared" si="12"/>
        <v>27895.13513513513</v>
      </c>
      <c r="R20" s="253">
        <f t="shared" si="3"/>
        <v>21893.010947670085</v>
      </c>
      <c r="S20" s="241">
        <f t="shared" si="4"/>
        <v>24062.588609150898</v>
      </c>
      <c r="T20" s="242">
        <f t="shared" si="5"/>
        <v>0</v>
      </c>
      <c r="U20" s="245">
        <f t="shared" si="6"/>
        <v>0</v>
      </c>
      <c r="V20" s="246">
        <f>IF($A20&lt;=$N$4,VLOOKUP(A20,'DOE Fuel Esc Rates'!$T$9:$W$38,2,TRUE),"")</f>
        <v>2019</v>
      </c>
      <c r="W20" s="247">
        <f t="shared" si="7"/>
        <v>672615.69086611073</v>
      </c>
      <c r="X20" s="241">
        <f t="shared" si="8"/>
        <v>580204.20345573046</v>
      </c>
      <c r="Y20" s="248">
        <f>IF(A20&lt;&gt;"",SUM(X$15:X20),"")</f>
        <v>3165729.8692612671</v>
      </c>
      <c r="Z20" s="249">
        <f>IF(A20&lt;&gt;"",LCC0!Y20-Y20,"")</f>
        <v>103185.41751741245</v>
      </c>
      <c r="AA20" s="312" t="str">
        <f>IF(A20&lt;&gt;"",IF(Z20&gt;0,IF(SUM(AA$16:AA19)=0,A19+(-Z19)/(Z20-Z19),""),""),"")</f>
        <v/>
      </c>
      <c r="AB20" s="198"/>
      <c r="AC20" s="251">
        <f t="shared" si="9"/>
        <v>672615.69086611073</v>
      </c>
      <c r="AE20" s="198"/>
    </row>
    <row r="21" spans="1:31" x14ac:dyDescent="0.2">
      <c r="A21" s="176">
        <f t="shared" si="13"/>
        <v>6</v>
      </c>
      <c r="B21" s="56"/>
      <c r="C21" s="51">
        <v>0</v>
      </c>
      <c r="D21" s="252">
        <f t="shared" si="10"/>
        <v>0</v>
      </c>
      <c r="E21" s="56"/>
      <c r="F21" s="51">
        <v>0</v>
      </c>
      <c r="G21" s="241">
        <f t="shared" si="0"/>
        <v>0</v>
      </c>
      <c r="H21" s="242">
        <f>IF($A21&lt;=$N$4,H$15*'General Data'!$S13,"")</f>
        <v>630000</v>
      </c>
      <c r="I21" s="243">
        <f>IF(A21&lt;&gt;"",IF(I$15="",VLOOKUP(A21,'DOE Fuel Esc Rates'!$T$9:$W$38,3,TRUE),I$15),"")</f>
        <v>3.7025609379821578E-3</v>
      </c>
      <c r="J21" s="243">
        <f>((1+I21)*(1+'General Data'!$M$25))-1</f>
        <v>4.7062634989201158E-3</v>
      </c>
      <c r="K21" s="253">
        <f t="shared" si="11"/>
        <v>647107.67287653929</v>
      </c>
      <c r="L21" s="253">
        <f t="shared" si="1"/>
        <v>527615.08171070227</v>
      </c>
      <c r="M21" s="241">
        <f t="shared" si="2"/>
        <v>541942.48841329792</v>
      </c>
      <c r="N21" s="242">
        <f>IF($A21&lt;=$N$4,N$15*'General Data'!$S13,"")</f>
        <v>25380</v>
      </c>
      <c r="O21" s="243">
        <f>IF(A21&lt;&gt;"",IF(O$15="",VLOOKUP(A21,'DOE Fuel Esc Rates'!$T$9:$W$38,4,TRUE),O$15),"")</f>
        <v>3.5860655737704805E-2</v>
      </c>
      <c r="P21" s="243">
        <f>((1+O21)*(1+'General Data'!$M$25))-1</f>
        <v>3.6896516393442491E-2</v>
      </c>
      <c r="Q21" s="253">
        <f t="shared" si="12"/>
        <v>28895.472972972962</v>
      </c>
      <c r="R21" s="253">
        <f t="shared" si="3"/>
        <v>21255.350434631149</v>
      </c>
      <c r="S21" s="241">
        <f t="shared" si="4"/>
        <v>24199.503704292889</v>
      </c>
      <c r="T21" s="242">
        <f t="shared" si="5"/>
        <v>0</v>
      </c>
      <c r="U21" s="245">
        <f t="shared" si="6"/>
        <v>0</v>
      </c>
      <c r="V21" s="246">
        <f>IF($A21&lt;=$N$4,VLOOKUP(A21,'DOE Fuel Esc Rates'!$T$9:$W$38,2,TRUE),"")</f>
        <v>2020</v>
      </c>
      <c r="W21" s="247">
        <f t="shared" si="7"/>
        <v>676003.14584951231</v>
      </c>
      <c r="X21" s="241">
        <f t="shared" si="8"/>
        <v>566141.99211759085</v>
      </c>
      <c r="Y21" s="248">
        <f>IF(A21&lt;&gt;"",SUM(X$15:X21),"")</f>
        <v>3731871.8613788579</v>
      </c>
      <c r="Z21" s="249">
        <f>IF(A21&lt;&gt;"",LCC0!Y21-Y21,"")</f>
        <v>125760.75887634326</v>
      </c>
      <c r="AA21" s="312" t="str">
        <f>IF(A21&lt;&gt;"",IF(Z21&gt;0,IF(SUM(AA$16:AA20)=0,A20+(-Z20)/(Z21-Z20),""),""),"")</f>
        <v/>
      </c>
      <c r="AB21" s="198"/>
      <c r="AC21" s="251">
        <f t="shared" si="9"/>
        <v>676003.14584951231</v>
      </c>
      <c r="AE21" s="198"/>
    </row>
    <row r="22" spans="1:31" x14ac:dyDescent="0.2">
      <c r="A22" s="176">
        <f t="shared" si="13"/>
        <v>7</v>
      </c>
      <c r="B22" s="56"/>
      <c r="C22" s="51">
        <v>0</v>
      </c>
      <c r="D22" s="252">
        <f t="shared" si="10"/>
        <v>0</v>
      </c>
      <c r="E22" s="56"/>
      <c r="F22" s="51">
        <v>0</v>
      </c>
      <c r="G22" s="241">
        <f t="shared" si="0"/>
        <v>0</v>
      </c>
      <c r="H22" s="242">
        <f>IF($A22&lt;=$N$4,H$15*'General Data'!$S14,"")</f>
        <v>630000</v>
      </c>
      <c r="I22" s="243">
        <f>IF(A22&lt;&gt;"",IF(I$15="",VLOOKUP(A22,'DOE Fuel Esc Rates'!$T$9:$W$38,3,TRUE),I$15),"")</f>
        <v>1.8444512757456177E-3</v>
      </c>
      <c r="J22" s="243">
        <f>((1+I22)*(1+'General Data'!$M$25))-1</f>
        <v>2.8462957270212197E-3</v>
      </c>
      <c r="K22" s="253">
        <f t="shared" si="11"/>
        <v>648301.23144932115</v>
      </c>
      <c r="L22" s="253">
        <f t="shared" si="1"/>
        <v>512247.65214631287</v>
      </c>
      <c r="M22" s="241">
        <f t="shared" si="2"/>
        <v>527128.22808488586</v>
      </c>
      <c r="N22" s="242">
        <f>IF($A22&lt;=$N$4,N$15*'General Data'!$S14,"")</f>
        <v>25380</v>
      </c>
      <c r="O22" s="243">
        <f>IF(A22&lt;&gt;"",IF(O$15="",VLOOKUP(A22,'DOE Fuel Esc Rates'!$T$9:$W$38,4,TRUE),O$15),"")</f>
        <v>2.0771513353115889E-2</v>
      </c>
      <c r="P22" s="243">
        <f>((1+O22)*(1+'General Data'!$M$25))-1</f>
        <v>2.1792284866468892E-2</v>
      </c>
      <c r="Q22" s="253">
        <f t="shared" si="12"/>
        <v>29495.675675675669</v>
      </c>
      <c r="R22" s="253">
        <f t="shared" si="3"/>
        <v>20636.262557894319</v>
      </c>
      <c r="S22" s="241">
        <f t="shared" si="4"/>
        <v>23982.683513228527</v>
      </c>
      <c r="T22" s="242">
        <f t="shared" si="5"/>
        <v>0</v>
      </c>
      <c r="U22" s="245">
        <f t="shared" si="6"/>
        <v>0</v>
      </c>
      <c r="V22" s="246">
        <f>IF($A22&lt;=$N$4,VLOOKUP(A22,'DOE Fuel Esc Rates'!$T$9:$W$38,2,TRUE),"")</f>
        <v>2021</v>
      </c>
      <c r="W22" s="247">
        <f t="shared" si="7"/>
        <v>677796.90712499677</v>
      </c>
      <c r="X22" s="241">
        <f t="shared" si="8"/>
        <v>551110.91159811441</v>
      </c>
      <c r="Y22" s="248">
        <f>IF(A22&lt;&gt;"",SUM(X$15:X22),"")</f>
        <v>4282982.7729769722</v>
      </c>
      <c r="Z22" s="249">
        <f>IF(A22&lt;&gt;"",LCC0!Y22-Y22,"")</f>
        <v>147717.94108360447</v>
      </c>
      <c r="AA22" s="312" t="str">
        <f>IF(A22&lt;&gt;"",IF(Z22&gt;0,IF(SUM(AA$16:AA21)=0,A21+(-Z21)/(Z22-Z21),""),""),"")</f>
        <v/>
      </c>
      <c r="AB22" s="198"/>
      <c r="AC22" s="251">
        <f t="shared" si="9"/>
        <v>677796.90712499677</v>
      </c>
      <c r="AE22" s="198"/>
    </row>
    <row r="23" spans="1:31" x14ac:dyDescent="0.2">
      <c r="A23" s="176">
        <f t="shared" si="13"/>
        <v>8</v>
      </c>
      <c r="B23" s="56"/>
      <c r="C23" s="51">
        <v>0</v>
      </c>
      <c r="D23" s="252">
        <f t="shared" si="10"/>
        <v>0</v>
      </c>
      <c r="E23" s="56" t="s">
        <v>50</v>
      </c>
      <c r="F23" s="51">
        <v>0</v>
      </c>
      <c r="G23" s="241">
        <f t="shared" si="0"/>
        <v>0</v>
      </c>
      <c r="H23" s="242">
        <f>IF($A23&lt;=$N$4,H$15*'General Data'!$S15,"")</f>
        <v>630000</v>
      </c>
      <c r="I23" s="243">
        <f>IF(A23&lt;&gt;"",IF(I$15="",VLOOKUP(A23,'DOE Fuel Esc Rates'!$T$9:$W$38,3,TRUE),I$15),"")</f>
        <v>-2.1478981282602172E-3</v>
      </c>
      <c r="J23" s="243">
        <f>((1+I23)*(1+'General Data'!$M$25))-1</f>
        <v>-1.1500460263885737E-3</v>
      </c>
      <c r="K23" s="253">
        <f t="shared" si="11"/>
        <v>646908.74644774233</v>
      </c>
      <c r="L23" s="253">
        <f t="shared" si="1"/>
        <v>497327.81761777954</v>
      </c>
      <c r="M23" s="241">
        <f t="shared" si="2"/>
        <v>510675.73820430029</v>
      </c>
      <c r="N23" s="242">
        <f>IF($A23&lt;=$N$4,N$15*'General Data'!$S15,"")</f>
        <v>25380</v>
      </c>
      <c r="O23" s="243">
        <f>IF(A23&lt;&gt;"",IF(O$15="",VLOOKUP(A23,'DOE Fuel Esc Rates'!$T$9:$W$38,4,TRUE),O$15),"")</f>
        <v>1.744186046511631E-2</v>
      </c>
      <c r="P23" s="243">
        <f>((1+O23)*(1+'General Data'!$M$25))-1</f>
        <v>1.8459302325581239E-2</v>
      </c>
      <c r="Q23" s="253">
        <f t="shared" si="12"/>
        <v>30010.13513513513</v>
      </c>
      <c r="R23" s="253">
        <f t="shared" si="3"/>
        <v>20035.206366887691</v>
      </c>
      <c r="S23" s="241">
        <f t="shared" si="4"/>
        <v>23690.277798684765</v>
      </c>
      <c r="T23" s="242">
        <f t="shared" si="5"/>
        <v>0</v>
      </c>
      <c r="U23" s="245">
        <f t="shared" si="6"/>
        <v>0</v>
      </c>
      <c r="V23" s="246">
        <f>IF($A23&lt;=$N$4,VLOOKUP(A23,'DOE Fuel Esc Rates'!$T$9:$W$38,2,TRUE),"")</f>
        <v>2022</v>
      </c>
      <c r="W23" s="247">
        <f t="shared" si="7"/>
        <v>676918.88158287748</v>
      </c>
      <c r="X23" s="241">
        <f t="shared" si="8"/>
        <v>534366.01600298507</v>
      </c>
      <c r="Y23" s="248">
        <f>IF(A23&lt;&gt;"",SUM(X$15:X23),"")</f>
        <v>4817348.7889799569</v>
      </c>
      <c r="Z23" s="249">
        <f>IF(A23&lt;&gt;"",LCC0!Y23-Y23,"")</f>
        <v>168988.72724184114</v>
      </c>
      <c r="AA23" s="312" t="str">
        <f>IF(A23&lt;&gt;"",IF(Z23&gt;0,IF(SUM(AA$16:AA22)=0,A22+(-Z22)/(Z23-Z22),""),""),"")</f>
        <v/>
      </c>
      <c r="AB23" s="198"/>
      <c r="AC23" s="251">
        <f t="shared" si="9"/>
        <v>676918.88158287748</v>
      </c>
      <c r="AE23" s="198"/>
    </row>
    <row r="24" spans="1:31" x14ac:dyDescent="0.2">
      <c r="A24" s="176">
        <f t="shared" si="13"/>
        <v>9</v>
      </c>
      <c r="B24" s="56"/>
      <c r="C24" s="51">
        <v>0</v>
      </c>
      <c r="D24" s="252">
        <f t="shared" si="10"/>
        <v>0</v>
      </c>
      <c r="E24" s="56"/>
      <c r="F24" s="51">
        <v>0</v>
      </c>
      <c r="G24" s="241">
        <f t="shared" si="0"/>
        <v>0</v>
      </c>
      <c r="H24" s="242">
        <f>IF($A24&lt;=$N$4,H$15*'General Data'!$S16,"")</f>
        <v>630000</v>
      </c>
      <c r="I24" s="243">
        <f>IF(A24&lt;&gt;"",IF(I$15="",VLOOKUP(A24,'DOE Fuel Esc Rates'!$T$9:$W$38,3,TRUE),I$15),"")</f>
        <v>-2.4600246002461912E-3</v>
      </c>
      <c r="J24" s="243">
        <f>((1+I24)*(1+'General Data'!$M$25))-1</f>
        <v>-1.4624846248465495E-3</v>
      </c>
      <c r="K24" s="253">
        <f t="shared" si="11"/>
        <v>645317.33501736645</v>
      </c>
      <c r="L24" s="253">
        <f t="shared" si="1"/>
        <v>482842.54137648497</v>
      </c>
      <c r="M24" s="241">
        <f t="shared" si="2"/>
        <v>494582.00322870759</v>
      </c>
      <c r="N24" s="242">
        <f>IF($A24&lt;=$N$4,N$15*'General Data'!$S16,"")</f>
        <v>25380</v>
      </c>
      <c r="O24" s="243">
        <f>IF(A24&lt;&gt;"",IF(O$15="",VLOOKUP(A24,'DOE Fuel Esc Rates'!$T$9:$W$38,4,TRUE),O$15),"")</f>
        <v>1.0476190476190528E-2</v>
      </c>
      <c r="P24" s="243">
        <f>((1+O24)*(1+'General Data'!$M$25))-1</f>
        <v>1.1486666666666645E-2</v>
      </c>
      <c r="Q24" s="253">
        <f t="shared" si="12"/>
        <v>30324.527027027023</v>
      </c>
      <c r="R24" s="253">
        <f t="shared" si="3"/>
        <v>19451.656666881252</v>
      </c>
      <c r="S24" s="241">
        <f t="shared" si="4"/>
        <v>23241.22491392005</v>
      </c>
      <c r="T24" s="242">
        <f t="shared" si="5"/>
        <v>0</v>
      </c>
      <c r="U24" s="245">
        <f t="shared" si="6"/>
        <v>0</v>
      </c>
      <c r="V24" s="246">
        <f>IF($A24&lt;=$N$4,VLOOKUP(A24,'DOE Fuel Esc Rates'!$T$9:$W$38,2,TRUE),"")</f>
        <v>2023</v>
      </c>
      <c r="W24" s="247">
        <f t="shared" si="7"/>
        <v>675641.86204439343</v>
      </c>
      <c r="X24" s="241">
        <f t="shared" si="8"/>
        <v>517823.22814262763</v>
      </c>
      <c r="Y24" s="248">
        <f>IF(A24&lt;&gt;"",SUM(X$15:X24),"")</f>
        <v>5335172.0171225844</v>
      </c>
      <c r="Z24" s="249">
        <f>IF(A24&lt;&gt;"",LCC0!Y24-Y24,"")</f>
        <v>189588.46996350773</v>
      </c>
      <c r="AA24" s="312" t="str">
        <f>IF(A24&lt;&gt;"",IF(Z24&gt;0,IF(SUM(AA$16:AA23)=0,A23+(-Z23)/(Z24-Z23),""),""),"")</f>
        <v/>
      </c>
      <c r="AB24" s="198"/>
      <c r="AC24" s="251">
        <f t="shared" si="9"/>
        <v>675641.86204439343</v>
      </c>
      <c r="AE24" s="198"/>
    </row>
    <row r="25" spans="1:31" x14ac:dyDescent="0.2">
      <c r="A25" s="176">
        <f t="shared" si="13"/>
        <v>10</v>
      </c>
      <c r="B25" s="56"/>
      <c r="C25" s="51">
        <v>0</v>
      </c>
      <c r="D25" s="252">
        <f t="shared" si="10"/>
        <v>0</v>
      </c>
      <c r="E25" s="56"/>
      <c r="F25" s="51">
        <v>0</v>
      </c>
      <c r="G25" s="241">
        <f t="shared" si="0"/>
        <v>0</v>
      </c>
      <c r="H25" s="242">
        <f>IF($A25&lt;=$N$4,H$15*'General Data'!$S17,"")</f>
        <v>630000</v>
      </c>
      <c r="I25" s="243">
        <f>IF(A25&lt;&gt;"",IF(I$15="",VLOOKUP(A25,'DOE Fuel Esc Rates'!$T$9:$W$38,3,TRUE),I$15),"")</f>
        <v>2.1578298397040285E-3</v>
      </c>
      <c r="J25" s="243">
        <f>((1+I25)*(1+'General Data'!$M$25))-1</f>
        <v>3.159987669543618E-3</v>
      </c>
      <c r="K25" s="253">
        <f t="shared" si="11"/>
        <v>646709.82001894526</v>
      </c>
      <c r="L25" s="253">
        <f t="shared" si="1"/>
        <v>468779.16638493689</v>
      </c>
      <c r="M25" s="241">
        <f t="shared" si="2"/>
        <v>481212.84178005351</v>
      </c>
      <c r="N25" s="242">
        <f>IF($A25&lt;=$N$4,N$15*'General Data'!$S17,"")</f>
        <v>25380</v>
      </c>
      <c r="O25" s="243">
        <f>IF(A25&lt;&gt;"",IF(O$15="",VLOOKUP(A25,'DOE Fuel Esc Rates'!$T$9:$W$38,4,TRUE),O$15),"")</f>
        <v>1.6965127238454336E-2</v>
      </c>
      <c r="P25" s="243">
        <f>((1+O25)*(1+'General Data'!$M$25))-1</f>
        <v>1.7982092365692592E-2</v>
      </c>
      <c r="Q25" s="253">
        <f t="shared" si="12"/>
        <v>30838.986486486483</v>
      </c>
      <c r="R25" s="253">
        <f t="shared" si="3"/>
        <v>18885.103560078885</v>
      </c>
      <c r="S25" s="241">
        <f t="shared" si="4"/>
        <v>22947.10218617693</v>
      </c>
      <c r="T25" s="242">
        <f t="shared" si="5"/>
        <v>0</v>
      </c>
      <c r="U25" s="245">
        <f t="shared" si="6"/>
        <v>0</v>
      </c>
      <c r="V25" s="246">
        <f>IF($A25&lt;=$N$4,VLOOKUP(A25,'DOE Fuel Esc Rates'!$T$9:$W$38,2,TRUE),"")</f>
        <v>2024</v>
      </c>
      <c r="W25" s="247">
        <f t="shared" si="7"/>
        <v>677548.80650543177</v>
      </c>
      <c r="X25" s="241">
        <f t="shared" si="8"/>
        <v>504159.94396623044</v>
      </c>
      <c r="Y25" s="248">
        <f>IF(A25&lt;&gt;"",SUM(X$15:X25),"")</f>
        <v>5839331.9610888148</v>
      </c>
      <c r="Z25" s="249">
        <f>IF(A25&lt;&gt;"",LCC0!Y25-Y25,"")</f>
        <v>209630.58636360709</v>
      </c>
      <c r="AA25" s="312" t="str">
        <f>IF(A25&lt;&gt;"",IF(Z25&gt;0,IF(SUM(AA$16:AA24)=0,A24+(-Z24)/(Z25-Z24),""),""),"")</f>
        <v/>
      </c>
      <c r="AB25" s="198"/>
      <c r="AC25" s="251">
        <f t="shared" si="9"/>
        <v>677548.80650543177</v>
      </c>
      <c r="AE25" s="198"/>
    </row>
    <row r="26" spans="1:31" x14ac:dyDescent="0.2">
      <c r="A26" s="176">
        <f t="shared" si="13"/>
        <v>11</v>
      </c>
      <c r="B26" s="56"/>
      <c r="C26" s="51">
        <v>0</v>
      </c>
      <c r="D26" s="252">
        <f t="shared" si="10"/>
        <v>0</v>
      </c>
      <c r="E26" s="56"/>
      <c r="F26" s="51">
        <v>0</v>
      </c>
      <c r="G26" s="241">
        <f t="shared" si="0"/>
        <v>0</v>
      </c>
      <c r="H26" s="242">
        <f>IF($A26&lt;=$N$4,H$15*'General Data'!$S18,"")</f>
        <v>630000</v>
      </c>
      <c r="I26" s="243">
        <f>IF(A26&lt;&gt;"",IF(I$15="",VLOOKUP(A26,'DOE Fuel Esc Rates'!$T$9:$W$38,3,TRUE),I$15),"")</f>
        <v>3.9987696093510827E-3</v>
      </c>
      <c r="J26" s="243">
        <f>((1+I26)*(1+'General Data'!$M$25))-1</f>
        <v>5.0027683789604094E-3</v>
      </c>
      <c r="K26" s="253">
        <f t="shared" si="11"/>
        <v>649295.86359330593</v>
      </c>
      <c r="L26" s="253">
        <f t="shared" si="1"/>
        <v>455125.40425722027</v>
      </c>
      <c r="M26" s="241">
        <f t="shared" si="2"/>
        <v>469065.14666737191</v>
      </c>
      <c r="N26" s="242">
        <f>IF($A26&lt;=$N$4,N$15*'General Data'!$S18,"")</f>
        <v>25380</v>
      </c>
      <c r="O26" s="243">
        <f>IF(A26&lt;&gt;"",IF(O$15="",VLOOKUP(A26,'DOE Fuel Esc Rates'!$T$9:$W$38,4,TRUE),O$15),"")</f>
        <v>2.1316033364226161E-2</v>
      </c>
      <c r="P26" s="243">
        <f>((1+O26)*(1+'General Data'!$M$25))-1</f>
        <v>2.2337349397590245E-2</v>
      </c>
      <c r="Q26" s="253">
        <f t="shared" si="12"/>
        <v>31496.35135135135</v>
      </c>
      <c r="R26" s="253">
        <f t="shared" si="3"/>
        <v>18335.052000076586</v>
      </c>
      <c r="S26" s="241">
        <f t="shared" si="4"/>
        <v>22753.634351446395</v>
      </c>
      <c r="T26" s="242">
        <f t="shared" si="5"/>
        <v>0</v>
      </c>
      <c r="U26" s="245">
        <f t="shared" si="6"/>
        <v>0</v>
      </c>
      <c r="V26" s="246">
        <f>IF($A26&lt;=$N$4,VLOOKUP(A26,'DOE Fuel Esc Rates'!$T$9:$W$38,2,TRUE),"")</f>
        <v>2025</v>
      </c>
      <c r="W26" s="247">
        <f t="shared" si="7"/>
        <v>680792.21494465729</v>
      </c>
      <c r="X26" s="241">
        <f t="shared" si="8"/>
        <v>491818.78101881832</v>
      </c>
      <c r="Y26" s="248">
        <f>IF(A26&lt;&gt;"",SUM(X$15:X26),"")</f>
        <v>6331150.7421076335</v>
      </c>
      <c r="Z26" s="249">
        <f>IF(A26&lt;&gt;"",LCC0!Y26-Y26,"")</f>
        <v>229165.849248101</v>
      </c>
      <c r="AA26" s="312" t="str">
        <f>IF(A26&lt;&gt;"",IF(Z26&gt;0,IF(SUM(AA$16:AA25)=0,A25+(-Z25)/(Z26-Z25),""),""),"")</f>
        <v/>
      </c>
      <c r="AB26" s="198"/>
      <c r="AC26" s="251">
        <f t="shared" si="9"/>
        <v>680792.21494465729</v>
      </c>
      <c r="AE26" s="198"/>
    </row>
    <row r="27" spans="1:31" x14ac:dyDescent="0.2">
      <c r="A27" s="176">
        <f t="shared" si="13"/>
        <v>12</v>
      </c>
      <c r="B27" s="56"/>
      <c r="C27" s="51">
        <v>0</v>
      </c>
      <c r="D27" s="252">
        <f t="shared" si="10"/>
        <v>0</v>
      </c>
      <c r="E27" s="56"/>
      <c r="F27" s="51">
        <v>0</v>
      </c>
      <c r="G27" s="241">
        <f t="shared" si="0"/>
        <v>0</v>
      </c>
      <c r="H27" s="242">
        <f>IF($A27&lt;=$N$4,H$15*'General Data'!$S19,"")</f>
        <v>630000</v>
      </c>
      <c r="I27" s="243">
        <f>IF(A27&lt;&gt;"",IF(I$15="",VLOOKUP(A27,'DOE Fuel Esc Rates'!$T$9:$W$38,3,TRUE),I$15),"")</f>
        <v>1.5318627450979783E-3</v>
      </c>
      <c r="J27" s="243">
        <f>((1+I27)*(1+'General Data'!$M$25))-1</f>
        <v>2.5333946078429648E-3</v>
      </c>
      <c r="K27" s="253">
        <f t="shared" si="11"/>
        <v>650290.49573729071</v>
      </c>
      <c r="L27" s="253">
        <f t="shared" si="1"/>
        <v>441869.32452157314</v>
      </c>
      <c r="M27" s="241">
        <f t="shared" si="2"/>
        <v>456100.66999085009</v>
      </c>
      <c r="N27" s="242">
        <f>IF($A27&lt;=$N$4,N$15*'General Data'!$S19,"")</f>
        <v>25380</v>
      </c>
      <c r="O27" s="243">
        <f>IF(A27&lt;&gt;"",IF(O$15="",VLOOKUP(A27,'DOE Fuel Esc Rates'!$T$9:$W$38,4,TRUE),O$15),"")</f>
        <v>5.4446460980037692E-3</v>
      </c>
      <c r="P27" s="243">
        <f>((1+O27)*(1+'General Data'!$M$25))-1</f>
        <v>6.4500907441016331E-3</v>
      </c>
      <c r="Q27" s="253">
        <f t="shared" si="12"/>
        <v>31667.83783783784</v>
      </c>
      <c r="R27" s="253">
        <f t="shared" si="3"/>
        <v>17801.021359297662</v>
      </c>
      <c r="S27" s="241">
        <f t="shared" si="4"/>
        <v>22211.184308673208</v>
      </c>
      <c r="T27" s="242">
        <f t="shared" si="5"/>
        <v>0</v>
      </c>
      <c r="U27" s="245">
        <f t="shared" si="6"/>
        <v>0</v>
      </c>
      <c r="V27" s="246">
        <f>IF($A27&lt;=$N$4,VLOOKUP(A27,'DOE Fuel Esc Rates'!$T$9:$W$38,2,TRUE),"")</f>
        <v>2026</v>
      </c>
      <c r="W27" s="247">
        <f t="shared" si="7"/>
        <v>681958.33357512858</v>
      </c>
      <c r="X27" s="241">
        <f t="shared" si="8"/>
        <v>478311.85429952329</v>
      </c>
      <c r="Y27" s="248">
        <f>IF(A27&lt;&gt;"",SUM(X$15:X27),"")</f>
        <v>6809462.5964071564</v>
      </c>
      <c r="Z27" s="249">
        <f>IF(A27&lt;&gt;"",LCC0!Y27-Y27,"")</f>
        <v>248160.97328015044</v>
      </c>
      <c r="AA27" s="312" t="str">
        <f>IF(A27&lt;&gt;"",IF(Z27&gt;0,IF(SUM(AA$16:AA26)=0,A26+(-Z26)/(Z27-Z26),""),""),"")</f>
        <v/>
      </c>
      <c r="AB27" s="198"/>
      <c r="AC27" s="251">
        <f t="shared" si="9"/>
        <v>681958.33357512858</v>
      </c>
      <c r="AE27" s="198"/>
    </row>
    <row r="28" spans="1:31" x14ac:dyDescent="0.2">
      <c r="A28" s="176">
        <f t="shared" si="13"/>
        <v>13</v>
      </c>
      <c r="B28" s="56"/>
      <c r="C28" s="51">
        <v>0</v>
      </c>
      <c r="D28" s="252">
        <f t="shared" si="10"/>
        <v>0</v>
      </c>
      <c r="E28" s="56"/>
      <c r="F28" s="51">
        <v>0</v>
      </c>
      <c r="G28" s="241">
        <f t="shared" si="0"/>
        <v>0</v>
      </c>
      <c r="H28" s="242">
        <f>IF($A28&lt;=$N$4,H$15*'General Data'!$S20,"")</f>
        <v>630000</v>
      </c>
      <c r="I28" s="243">
        <f>IF(A28&lt;&gt;"",IF(I$15="",VLOOKUP(A28,'DOE Fuel Esc Rates'!$T$9:$W$38,3,TRUE),I$15),"")</f>
        <v>-4.282655246252709E-3</v>
      </c>
      <c r="J28" s="243">
        <f>((1+I28)*(1+'General Data'!$M$25))-1</f>
        <v>-3.2869379014990319E-3</v>
      </c>
      <c r="K28" s="253">
        <f t="shared" si="11"/>
        <v>647505.52573413309</v>
      </c>
      <c r="L28" s="253">
        <f t="shared" si="1"/>
        <v>428999.34419570206</v>
      </c>
      <c r="M28" s="241">
        <f t="shared" si="2"/>
        <v>440919.75540164509</v>
      </c>
      <c r="N28" s="242">
        <f>IF($A28&lt;=$N$4,N$15*'General Data'!$S20,"")</f>
        <v>25380</v>
      </c>
      <c r="O28" s="243">
        <f>IF(A28&lt;&gt;"",IF(O$15="",VLOOKUP(A28,'DOE Fuel Esc Rates'!$T$9:$W$38,4,TRUE),O$15),"")</f>
        <v>-7.2202166064981865E-3</v>
      </c>
      <c r="P28" s="243">
        <f>((1+O28)*(1+'General Data'!$M$25))-1</f>
        <v>-6.2274368231047816E-3</v>
      </c>
      <c r="Q28" s="253">
        <f t="shared" si="12"/>
        <v>31439.18918918919</v>
      </c>
      <c r="R28" s="253">
        <f t="shared" si="3"/>
        <v>17282.545009026857</v>
      </c>
      <c r="S28" s="241">
        <f t="shared" si="4"/>
        <v>21408.558006677413</v>
      </c>
      <c r="T28" s="242">
        <f t="shared" si="5"/>
        <v>0</v>
      </c>
      <c r="U28" s="245">
        <f t="shared" si="6"/>
        <v>0</v>
      </c>
      <c r="V28" s="246">
        <f>IF($A28&lt;=$N$4,VLOOKUP(A28,'DOE Fuel Esc Rates'!$T$9:$W$38,2,TRUE),"")</f>
        <v>2027</v>
      </c>
      <c r="W28" s="247">
        <f t="shared" si="7"/>
        <v>678944.71492332232</v>
      </c>
      <c r="X28" s="241">
        <f t="shared" si="8"/>
        <v>462328.31340832252</v>
      </c>
      <c r="Y28" s="248">
        <f>IF(A28&lt;&gt;"",SUM(X$15:X28),"")</f>
        <v>7271790.9098154791</v>
      </c>
      <c r="Z28" s="249">
        <f>IF(A28&lt;&gt;"",LCC0!Y28-Y28,"")</f>
        <v>266524.01086463407</v>
      </c>
      <c r="AA28" s="312" t="str">
        <f>IF(A28&lt;&gt;"",IF(Z28&gt;0,IF(SUM(AA$16:AA27)=0,A27+(-Z27)/(Z28-Z27),""),""),"")</f>
        <v/>
      </c>
      <c r="AB28" s="198"/>
      <c r="AC28" s="251">
        <f t="shared" si="9"/>
        <v>678944.71492332232</v>
      </c>
      <c r="AE28" s="198"/>
    </row>
    <row r="29" spans="1:31" x14ac:dyDescent="0.2">
      <c r="A29" s="176">
        <f t="shared" si="13"/>
        <v>14</v>
      </c>
      <c r="B29" s="56"/>
      <c r="C29" s="51">
        <v>0</v>
      </c>
      <c r="D29" s="252">
        <f t="shared" si="10"/>
        <v>0</v>
      </c>
      <c r="E29" s="56"/>
      <c r="F29" s="51">
        <v>0</v>
      </c>
      <c r="G29" s="241">
        <f t="shared" si="0"/>
        <v>0</v>
      </c>
      <c r="H29" s="242">
        <f>IF($A29&lt;=$N$4,H$15*'General Data'!$S21,"")</f>
        <v>630000</v>
      </c>
      <c r="I29" s="243">
        <f>IF(A29&lt;&gt;"",IF(I$15="",VLOOKUP(A29,'DOE Fuel Esc Rates'!$T$9:$W$38,3,TRUE),I$15),"")</f>
        <v>-7.0660522273424675E-3</v>
      </c>
      <c r="J29" s="243">
        <f>((1+I29)*(1+'General Data'!$M$25))-1</f>
        <v>-6.0731182795699112E-3</v>
      </c>
      <c r="K29" s="253">
        <f t="shared" si="11"/>
        <v>642930.21787180286</v>
      </c>
      <c r="L29" s="253">
        <f t="shared" si="1"/>
        <v>416504.2176657301</v>
      </c>
      <c r="M29" s="241">
        <f t="shared" si="2"/>
        <v>425052.61493389314</v>
      </c>
      <c r="N29" s="242">
        <f>IF($A29&lt;=$N$4,N$15*'General Data'!$S21,"")</f>
        <v>25380</v>
      </c>
      <c r="O29" s="243">
        <f>IF(A29&lt;&gt;"",IF(O$15="",VLOOKUP(A29,'DOE Fuel Esc Rates'!$T$9:$W$38,4,TRUE),O$15),"")</f>
        <v>-4.5454545454546302E-3</v>
      </c>
      <c r="P29" s="243">
        <f>((1+O29)*(1+'General Data'!$M$25))-1</f>
        <v>-3.5500000000001641E-3</v>
      </c>
      <c r="Q29" s="253">
        <f t="shared" si="12"/>
        <v>31296.283783783783</v>
      </c>
      <c r="R29" s="253">
        <f t="shared" si="3"/>
        <v>16779.169911676556</v>
      </c>
      <c r="S29" s="241">
        <f t="shared" si="4"/>
        <v>20690.530465411968</v>
      </c>
      <c r="T29" s="242">
        <f t="shared" si="5"/>
        <v>0</v>
      </c>
      <c r="U29" s="245">
        <f t="shared" si="6"/>
        <v>0</v>
      </c>
      <c r="V29" s="246">
        <f>IF($A29&lt;=$N$4,VLOOKUP(A29,'DOE Fuel Esc Rates'!$T$9:$W$38,2,TRUE),"")</f>
        <v>2028</v>
      </c>
      <c r="W29" s="247">
        <f t="shared" si="7"/>
        <v>674226.50165558665</v>
      </c>
      <c r="X29" s="241">
        <f t="shared" si="8"/>
        <v>445743.1453993051</v>
      </c>
      <c r="Y29" s="248">
        <f>IF(A29&lt;&gt;"",SUM(X$15:X29),"")</f>
        <v>7717534.0552147841</v>
      </c>
      <c r="Z29" s="249">
        <f>IF(A29&lt;&gt;"",LCC0!Y29-Y29,"")</f>
        <v>284226.10390469618</v>
      </c>
      <c r="AA29" s="312" t="str">
        <f>IF(A29&lt;&gt;"",IF(Z29&gt;0,IF(SUM(AA$16:AA28)=0,A28+(-Z28)/(Z29-Z28),""),""),"")</f>
        <v/>
      </c>
      <c r="AB29" s="198"/>
      <c r="AC29" s="251">
        <f t="shared" si="9"/>
        <v>674226.50165558665</v>
      </c>
      <c r="AE29" s="198"/>
    </row>
    <row r="30" spans="1:31" x14ac:dyDescent="0.2">
      <c r="A30" s="176">
        <f t="shared" si="13"/>
        <v>15</v>
      </c>
      <c r="B30" s="56" t="s">
        <v>51</v>
      </c>
      <c r="C30" s="51">
        <v>0</v>
      </c>
      <c r="D30" s="252">
        <f t="shared" si="10"/>
        <v>0</v>
      </c>
      <c r="E30" s="56"/>
      <c r="F30" s="51">
        <v>0</v>
      </c>
      <c r="G30" s="241">
        <f t="shared" si="0"/>
        <v>0</v>
      </c>
      <c r="H30" s="242">
        <f>IF($A30&lt;=$N$4,H$15*'General Data'!$S22,"")</f>
        <v>630000</v>
      </c>
      <c r="I30" s="243">
        <f>IF(A30&lt;&gt;"",IF(I$15="",VLOOKUP(A30,'DOE Fuel Esc Rates'!$T$9:$W$38,3,TRUE),I$15),"")</f>
        <v>-2.7846534653466204E-3</v>
      </c>
      <c r="J30" s="243">
        <f>((1+I30)*(1+'General Data'!$M$25))-1</f>
        <v>-1.7874381188121014E-3</v>
      </c>
      <c r="K30" s="253">
        <f t="shared" si="11"/>
        <v>641139.88001263014</v>
      </c>
      <c r="L30" s="253">
        <f t="shared" si="1"/>
        <v>404373.02685993211</v>
      </c>
      <c r="M30" s="241">
        <f t="shared" si="2"/>
        <v>411523.29193860467</v>
      </c>
      <c r="N30" s="242">
        <f>IF($A30&lt;=$N$4,N$15*'General Data'!$S22,"")</f>
        <v>25380</v>
      </c>
      <c r="O30" s="243">
        <f>IF(A30&lt;&gt;"",IF(O$15="",VLOOKUP(A30,'DOE Fuel Esc Rates'!$T$9:$W$38,4,TRUE),O$15),"")</f>
        <v>2.73972602739736E-3</v>
      </c>
      <c r="P30" s="243">
        <f>((1+O30)*(1+'General Data'!$M$25))-1</f>
        <v>3.7424657534246286E-3</v>
      </c>
      <c r="Q30" s="253">
        <f t="shared" si="12"/>
        <v>31382.02702702703</v>
      </c>
      <c r="R30" s="253">
        <f t="shared" si="3"/>
        <v>16290.456224928696</v>
      </c>
      <c r="S30" s="241">
        <f t="shared" si="4"/>
        <v>20142.928980823996</v>
      </c>
      <c r="T30" s="242">
        <f t="shared" si="5"/>
        <v>0</v>
      </c>
      <c r="U30" s="245">
        <f t="shared" si="6"/>
        <v>0</v>
      </c>
      <c r="V30" s="246">
        <f>IF($A30&lt;=$N$4,VLOOKUP(A30,'DOE Fuel Esc Rates'!$T$9:$W$38,2,TRUE),"")</f>
        <v>2029</v>
      </c>
      <c r="W30" s="247">
        <f t="shared" si="7"/>
        <v>672521.90703965712</v>
      </c>
      <c r="X30" s="241">
        <f t="shared" si="8"/>
        <v>431666.22091942868</v>
      </c>
      <c r="Y30" s="248">
        <f>IF(A30&lt;&gt;"",SUM(X$15:X30),"")</f>
        <v>8149200.2761342125</v>
      </c>
      <c r="Z30" s="249">
        <f>IF(A30&lt;&gt;"",LCC0!Y30-Y30,"")</f>
        <v>301364.48121249396</v>
      </c>
      <c r="AA30" s="312" t="str">
        <f>IF(A30&lt;&gt;"",IF(Z30&gt;0,IF(SUM(AA$16:AA29)=0,A29+(-Z29)/(Z30-Z29),""),""),"")</f>
        <v/>
      </c>
      <c r="AB30" s="198"/>
      <c r="AC30" s="251">
        <f t="shared" si="9"/>
        <v>672521.90703965712</v>
      </c>
      <c r="AE30" s="198"/>
    </row>
    <row r="31" spans="1:31" x14ac:dyDescent="0.2">
      <c r="A31" s="176">
        <f t="shared" si="13"/>
        <v>16</v>
      </c>
      <c r="B31" s="56"/>
      <c r="C31" s="51">
        <v>0</v>
      </c>
      <c r="D31" s="252">
        <f t="shared" si="10"/>
        <v>0</v>
      </c>
      <c r="E31" s="56"/>
      <c r="F31" s="51">
        <v>0</v>
      </c>
      <c r="G31" s="241">
        <f t="shared" si="0"/>
        <v>0</v>
      </c>
      <c r="H31" s="242">
        <f>IF($A31&lt;=$N$4,H$15*'General Data'!$S23,"")</f>
        <v>630000</v>
      </c>
      <c r="I31" s="243">
        <f>IF(A31&lt;&gt;"",IF(I$15="",VLOOKUP(A31,'DOE Fuel Esc Rates'!$T$9:$W$38,3,TRUE),I$15),"")</f>
        <v>-1.2410797393732631E-3</v>
      </c>
      <c r="J31" s="243">
        <f>((1+I31)*(1+'General Data'!$M$25))-1</f>
        <v>-2.4232081911279568E-4</v>
      </c>
      <c r="K31" s="253">
        <f t="shared" si="11"/>
        <v>640344.17429744231</v>
      </c>
      <c r="L31" s="253">
        <f t="shared" si="1"/>
        <v>392595.17170867207</v>
      </c>
      <c r="M31" s="241">
        <f t="shared" si="2"/>
        <v>399041.31914436858</v>
      </c>
      <c r="N31" s="242">
        <f>IF($A31&lt;=$N$4,N$15*'General Data'!$S23,"")</f>
        <v>25380</v>
      </c>
      <c r="O31" s="243">
        <f>IF(A31&lt;&gt;"",IF(O$15="",VLOOKUP(A31,'DOE Fuel Esc Rates'!$T$9:$W$38,4,TRUE),O$15),"")</f>
        <v>8.1967213114753079E-3</v>
      </c>
      <c r="P31" s="243">
        <f>((1+O31)*(1+'General Data'!$M$25))-1</f>
        <v>9.2049180327866686E-3</v>
      </c>
      <c r="Q31" s="253">
        <f t="shared" si="12"/>
        <v>31639.256756756757</v>
      </c>
      <c r="R31" s="253">
        <f t="shared" si="3"/>
        <v>15815.976917406502</v>
      </c>
      <c r="S31" s="241">
        <f t="shared" si="4"/>
        <v>19716.53879230743</v>
      </c>
      <c r="T31" s="242">
        <f t="shared" si="5"/>
        <v>0</v>
      </c>
      <c r="U31" s="245">
        <f t="shared" si="6"/>
        <v>0</v>
      </c>
      <c r="V31" s="246">
        <f>IF($A31&lt;=$N$4,VLOOKUP(A31,'DOE Fuel Esc Rates'!$T$9:$W$38,2,TRUE),"")</f>
        <v>2030</v>
      </c>
      <c r="W31" s="247">
        <f t="shared" si="7"/>
        <v>671983.43105419911</v>
      </c>
      <c r="X31" s="241">
        <f t="shared" si="8"/>
        <v>418757.85793667601</v>
      </c>
      <c r="Y31" s="248">
        <f>IF(A31&lt;&gt;"",SUM(X$15:X31),"")</f>
        <v>8567958.1340708882</v>
      </c>
      <c r="Z31" s="249">
        <f>IF(A31&lt;&gt;"",LCC0!Y31-Y31,"")</f>
        <v>317982.59557584673</v>
      </c>
      <c r="AA31" s="312" t="str">
        <f>IF(A31&lt;&gt;"",IF(Z31&gt;0,IF(SUM(AA$16:AA30)=0,A30+(-Z30)/(Z31-Z30),""),""),"")</f>
        <v/>
      </c>
      <c r="AB31" s="198"/>
      <c r="AC31" s="251">
        <f t="shared" si="9"/>
        <v>671983.43105419911</v>
      </c>
      <c r="AE31" s="198"/>
    </row>
    <row r="32" spans="1:31" x14ac:dyDescent="0.2">
      <c r="A32" s="176">
        <f t="shared" si="13"/>
        <v>17</v>
      </c>
      <c r="B32" s="56"/>
      <c r="C32" s="51">
        <v>0</v>
      </c>
      <c r="D32" s="252">
        <f t="shared" si="10"/>
        <v>0</v>
      </c>
      <c r="E32" s="56"/>
      <c r="F32" s="51">
        <v>0</v>
      </c>
      <c r="G32" s="241">
        <f t="shared" si="0"/>
        <v>0</v>
      </c>
      <c r="H32" s="242">
        <f>IF($A32&lt;=$N$4,H$15*'General Data'!$S24,"")</f>
        <v>630000</v>
      </c>
      <c r="I32" s="243">
        <f>IF(A32&lt;&gt;"",IF(I$15="",VLOOKUP(A32,'DOE Fuel Esc Rates'!$T$9:$W$38,3,TRUE),I$15),"")</f>
        <v>0</v>
      </c>
      <c r="J32" s="243">
        <f>((1+I32)*(1+'General Data'!$M$25))-1</f>
        <v>9.9999999999988987E-4</v>
      </c>
      <c r="K32" s="253">
        <f t="shared" si="11"/>
        <v>640344.17429744231</v>
      </c>
      <c r="L32" s="253">
        <f t="shared" si="1"/>
        <v>381160.36088220589</v>
      </c>
      <c r="M32" s="241">
        <f t="shared" si="2"/>
        <v>387418.75645084324</v>
      </c>
      <c r="N32" s="242">
        <f>IF($A32&lt;=$N$4,N$15*'General Data'!$S24,"")</f>
        <v>25380</v>
      </c>
      <c r="O32" s="243">
        <f>IF(A32&lt;&gt;"",IF(O$15="",VLOOKUP(A32,'DOE Fuel Esc Rates'!$T$9:$W$38,4,TRUE),O$15),"")</f>
        <v>1.6260162601625883E-2</v>
      </c>
      <c r="P32" s="243">
        <f>((1+O32)*(1+'General Data'!$M$25))-1</f>
        <v>1.7276422764227473E-2</v>
      </c>
      <c r="Q32" s="253">
        <f t="shared" si="12"/>
        <v>32153.716216216213</v>
      </c>
      <c r="R32" s="253">
        <f t="shared" si="3"/>
        <v>15355.317395540294</v>
      </c>
      <c r="S32" s="241">
        <f t="shared" si="4"/>
        <v>19453.527105836518</v>
      </c>
      <c r="T32" s="242">
        <f t="shared" si="5"/>
        <v>0</v>
      </c>
      <c r="U32" s="245">
        <f t="shared" si="6"/>
        <v>0</v>
      </c>
      <c r="V32" s="246">
        <f>IF($A32&lt;=$N$4,VLOOKUP(A32,'DOE Fuel Esc Rates'!$T$9:$W$38,2,TRUE),"")</f>
        <v>2031</v>
      </c>
      <c r="W32" s="247">
        <f t="shared" si="7"/>
        <v>672497.89051365852</v>
      </c>
      <c r="X32" s="241">
        <f t="shared" si="8"/>
        <v>406872.28355667973</v>
      </c>
      <c r="Y32" s="248">
        <f>IF(A32&lt;&gt;"",SUM(X$15:X32),"")</f>
        <v>8974830.4176275674</v>
      </c>
      <c r="Z32" s="249">
        <f>IF(A32&lt;&gt;"",LCC0!Y32-Y32,"")</f>
        <v>334115.95135994069</v>
      </c>
      <c r="AA32" s="312" t="str">
        <f>IF(A32&lt;&gt;"",IF(Z32&gt;0,IF(SUM(AA$16:AA31)=0,A31+(-Z31)/(Z32-Z31),""),""),"")</f>
        <v/>
      </c>
      <c r="AB32" s="198"/>
      <c r="AC32" s="251">
        <f t="shared" si="9"/>
        <v>672497.89051365852</v>
      </c>
      <c r="AE32" s="198"/>
    </row>
    <row r="33" spans="1:31" x14ac:dyDescent="0.2">
      <c r="A33" s="176">
        <f t="shared" si="13"/>
        <v>18</v>
      </c>
      <c r="B33" s="56"/>
      <c r="C33" s="51">
        <v>0</v>
      </c>
      <c r="D33" s="252">
        <f t="shared" si="10"/>
        <v>0</v>
      </c>
      <c r="E33" s="56"/>
      <c r="F33" s="51">
        <v>0</v>
      </c>
      <c r="G33" s="241">
        <f t="shared" si="0"/>
        <v>0</v>
      </c>
      <c r="H33" s="242">
        <f>IF($A33&lt;=$N$4,H$15*'General Data'!$S25,"")</f>
        <v>630000</v>
      </c>
      <c r="I33" s="243">
        <f>IF(A33&lt;&gt;"",IF(I$15="",VLOOKUP(A33,'DOE Fuel Esc Rates'!$T$9:$W$38,3,TRUE),I$15),"")</f>
        <v>2.1745883814849876E-3</v>
      </c>
      <c r="J33" s="243">
        <f>((1+I33)*(1+'General Data'!$M$25))-1</f>
        <v>3.1767629698664646E-3</v>
      </c>
      <c r="K33" s="253">
        <f t="shared" si="11"/>
        <v>641736.65929902112</v>
      </c>
      <c r="L33" s="253">
        <f t="shared" si="1"/>
        <v>370058.60279825813</v>
      </c>
      <c r="M33" s="241">
        <f t="shared" si="2"/>
        <v>376952.65318193263</v>
      </c>
      <c r="N33" s="242">
        <f>IF($A33&lt;=$N$4,N$15*'General Data'!$S25,"")</f>
        <v>25380</v>
      </c>
      <c r="O33" s="243">
        <f>IF(A33&lt;&gt;"",IF(O$15="",VLOOKUP(A33,'DOE Fuel Esc Rates'!$T$9:$W$38,4,TRUE),O$15),"")</f>
        <v>1.3333333333333419E-2</v>
      </c>
      <c r="P33" s="243">
        <f>((1+O33)*(1+'General Data'!$M$25))-1</f>
        <v>1.434666666666673E-2</v>
      </c>
      <c r="Q33" s="253">
        <f t="shared" si="12"/>
        <v>32582.432432432433</v>
      </c>
      <c r="R33" s="253">
        <f t="shared" si="3"/>
        <v>14908.075141301257</v>
      </c>
      <c r="S33" s="241">
        <f t="shared" si="4"/>
        <v>19138.745113832694</v>
      </c>
      <c r="T33" s="242">
        <f t="shared" si="5"/>
        <v>0</v>
      </c>
      <c r="U33" s="245">
        <f t="shared" si="6"/>
        <v>0</v>
      </c>
      <c r="V33" s="246">
        <f>IF($A33&lt;=$N$4,VLOOKUP(A33,'DOE Fuel Esc Rates'!$T$9:$W$38,2,TRUE),"")</f>
        <v>2032</v>
      </c>
      <c r="W33" s="247">
        <f t="shared" si="7"/>
        <v>674319.09173145355</v>
      </c>
      <c r="X33" s="241">
        <f t="shared" si="8"/>
        <v>396091.39829576534</v>
      </c>
      <c r="Y33" s="248">
        <f>IF(A33&lt;&gt;"",SUM(X$15:X33),"")</f>
        <v>9370921.8159233332</v>
      </c>
      <c r="Z33" s="249">
        <f>IF(A33&lt;&gt;"",LCC0!Y33-Y33,"")</f>
        <v>349812.96690155566</v>
      </c>
      <c r="AA33" s="312" t="str">
        <f>IF(A33&lt;&gt;"",IF(Z33&gt;0,IF(SUM(AA$16:AA32)=0,A32+(-Z32)/(Z33-Z32),""),""),"")</f>
        <v/>
      </c>
      <c r="AB33" s="198"/>
      <c r="AC33" s="251">
        <f t="shared" si="9"/>
        <v>674319.09173145355</v>
      </c>
      <c r="AE33" s="198"/>
    </row>
    <row r="34" spans="1:31" x14ac:dyDescent="0.2">
      <c r="A34" s="176">
        <f t="shared" si="13"/>
        <v>19</v>
      </c>
      <c r="B34" s="56"/>
      <c r="C34" s="51">
        <v>0</v>
      </c>
      <c r="D34" s="252">
        <f t="shared" si="10"/>
        <v>0</v>
      </c>
      <c r="E34" s="56"/>
      <c r="F34" s="51">
        <v>0</v>
      </c>
      <c r="G34" s="241">
        <f t="shared" si="0"/>
        <v>0</v>
      </c>
      <c r="H34" s="242">
        <f>IF($A34&lt;=$N$4,H$15*'General Data'!$S26,"")</f>
        <v>630000</v>
      </c>
      <c r="I34" s="243">
        <f>IF(A34&lt;&gt;"",IF(I$15="",VLOOKUP(A34,'DOE Fuel Esc Rates'!$T$9:$W$38,3,TRUE),I$15),"")</f>
        <v>1.2399256044637319E-3</v>
      </c>
      <c r="J34" s="243">
        <f>((1+I34)*(1+'General Data'!$M$25))-1</f>
        <v>2.2411655300680344E-3</v>
      </c>
      <c r="K34" s="253">
        <f t="shared" si="11"/>
        <v>642532.36501420895</v>
      </c>
      <c r="L34" s="253">
        <f t="shared" si="1"/>
        <v>359280.19689151278</v>
      </c>
      <c r="M34" s="241">
        <f t="shared" si="2"/>
        <v>366427.22954202275</v>
      </c>
      <c r="N34" s="242">
        <f>IF($A34&lt;=$N$4,N$15*'General Data'!$S26,"")</f>
        <v>25380</v>
      </c>
      <c r="O34" s="243">
        <f>IF(A34&lt;&gt;"",IF(O$15="",VLOOKUP(A34,'DOE Fuel Esc Rates'!$T$9:$W$38,4,TRUE),O$15),"")</f>
        <v>1.2280701754385781E-2</v>
      </c>
      <c r="P34" s="243">
        <f>((1+O34)*(1+'General Data'!$M$25))-1</f>
        <v>1.3292982456140079E-2</v>
      </c>
      <c r="Q34" s="253">
        <f t="shared" si="12"/>
        <v>32982.567567567559</v>
      </c>
      <c r="R34" s="253">
        <f t="shared" si="3"/>
        <v>14473.859360486656</v>
      </c>
      <c r="S34" s="241">
        <f t="shared" si="4"/>
        <v>18809.497412163961</v>
      </c>
      <c r="T34" s="242">
        <f t="shared" si="5"/>
        <v>0</v>
      </c>
      <c r="U34" s="245">
        <f t="shared" si="6"/>
        <v>0</v>
      </c>
      <c r="V34" s="246">
        <f>IF($A34&lt;=$N$4,VLOOKUP(A34,'DOE Fuel Esc Rates'!$T$9:$W$38,2,TRUE),"")</f>
        <v>2033</v>
      </c>
      <c r="W34" s="247">
        <f t="shared" si="7"/>
        <v>675514.93258177652</v>
      </c>
      <c r="X34" s="241">
        <f t="shared" si="8"/>
        <v>385236.72695418668</v>
      </c>
      <c r="Y34" s="248">
        <f>IF(A34&lt;&gt;"",SUM(X$15:X34),"")</f>
        <v>9756158.5428775195</v>
      </c>
      <c r="Z34" s="249">
        <f>IF(A34&lt;&gt;"",LCC0!Y34-Y34,"")</f>
        <v>365071.19906690344</v>
      </c>
      <c r="AA34" s="312" t="str">
        <f>IF(A34&lt;&gt;"",IF(Z34&gt;0,IF(SUM(AA$16:AA33)=0,A33+(-Z33)/(Z34-Z33),""),""),"")</f>
        <v/>
      </c>
      <c r="AB34" s="198"/>
      <c r="AC34" s="251">
        <f t="shared" si="9"/>
        <v>675514.93258177652</v>
      </c>
      <c r="AE34" s="198"/>
    </row>
    <row r="35" spans="1:31" x14ac:dyDescent="0.2">
      <c r="A35" s="176">
        <f t="shared" si="13"/>
        <v>20</v>
      </c>
      <c r="B35" s="56"/>
      <c r="C35" s="51">
        <v>0</v>
      </c>
      <c r="D35" s="252">
        <f t="shared" si="10"/>
        <v>0</v>
      </c>
      <c r="E35" s="56" t="s">
        <v>50</v>
      </c>
      <c r="F35" s="51">
        <v>0</v>
      </c>
      <c r="G35" s="241">
        <f t="shared" si="0"/>
        <v>0</v>
      </c>
      <c r="H35" s="242">
        <f>IF($A35&lt;=$N$4,H$15*'General Data'!$S27,"")</f>
        <v>630000</v>
      </c>
      <c r="I35" s="243">
        <f>IF(A35&lt;&gt;"",IF(I$15="",VLOOKUP(A35,'DOE Fuel Esc Rates'!$T$9:$W$38,3,TRUE),I$15),"")</f>
        <v>2.1671826625386803E-3</v>
      </c>
      <c r="J35" s="243">
        <f>((1+I35)*(1+'General Data'!$M$25))-1</f>
        <v>3.1693498452010083E-3</v>
      </c>
      <c r="K35" s="253">
        <f t="shared" si="11"/>
        <v>643924.85001578776</v>
      </c>
      <c r="L35" s="253">
        <f t="shared" si="1"/>
        <v>348815.72513739101</v>
      </c>
      <c r="M35" s="241">
        <f t="shared" si="2"/>
        <v>356525.57697181392</v>
      </c>
      <c r="N35" s="242">
        <f>IF($A35&lt;=$N$4,N$15*'General Data'!$S27,"")</f>
        <v>25380</v>
      </c>
      <c r="O35" s="243">
        <f>IF(A35&lt;&gt;"",IF(O$15="",VLOOKUP(A35,'DOE Fuel Esc Rates'!$T$9:$W$38,4,TRUE),O$15),"")</f>
        <v>1.7331022530329365E-2</v>
      </c>
      <c r="P35" s="243">
        <f>((1+O35)*(1+'General Data'!$M$25))-1</f>
        <v>1.8348353552859686E-2</v>
      </c>
      <c r="Q35" s="253">
        <f t="shared" si="12"/>
        <v>33554.189189189186</v>
      </c>
      <c r="R35" s="253">
        <f t="shared" si="3"/>
        <v>14052.290641249181</v>
      </c>
      <c r="S35" s="241">
        <f t="shared" si="4"/>
        <v>18578.141005435289</v>
      </c>
      <c r="T35" s="242">
        <f t="shared" si="5"/>
        <v>0</v>
      </c>
      <c r="U35" s="245">
        <f t="shared" si="6"/>
        <v>0</v>
      </c>
      <c r="V35" s="246">
        <f>IF($A35&lt;=$N$4,VLOOKUP(A35,'DOE Fuel Esc Rates'!$T$9:$W$38,2,TRUE),"")</f>
        <v>2034</v>
      </c>
      <c r="W35" s="247">
        <f t="shared" si="7"/>
        <v>677479.03920497699</v>
      </c>
      <c r="X35" s="241">
        <f t="shared" si="8"/>
        <v>375103.71797724918</v>
      </c>
      <c r="Y35" s="248">
        <f>IF(A35&lt;&gt;"",SUM(X$15:X35),"")</f>
        <v>10131262.260854769</v>
      </c>
      <c r="Z35" s="249">
        <f>IF(A35&lt;&gt;"",LCC0!Y35-Y35,"")</f>
        <v>379916.466302488</v>
      </c>
      <c r="AA35" s="312" t="str">
        <f>IF(A35&lt;&gt;"",IF(Z35&gt;0,IF(SUM(AA$16:AA34)=0,A34+(-Z34)/(Z35-Z34),""),""),"")</f>
        <v/>
      </c>
      <c r="AB35" s="198"/>
      <c r="AC35" s="251">
        <f t="shared" si="9"/>
        <v>677479.03920497699</v>
      </c>
      <c r="AE35" s="198"/>
    </row>
    <row r="36" spans="1:31" x14ac:dyDescent="0.2">
      <c r="A36" s="176">
        <f t="shared" si="13"/>
        <v>21</v>
      </c>
      <c r="B36" s="56"/>
      <c r="C36" s="51">
        <v>0</v>
      </c>
      <c r="D36" s="252">
        <f t="shared" si="10"/>
        <v>0</v>
      </c>
      <c r="E36" s="56"/>
      <c r="F36" s="51">
        <v>0</v>
      </c>
      <c r="G36" s="241">
        <f t="shared" si="0"/>
        <v>0</v>
      </c>
      <c r="H36" s="242">
        <f>IF($A36&lt;=$N$4,H$15*'General Data'!$S28,"")</f>
        <v>630000</v>
      </c>
      <c r="I36" s="243">
        <f>IF(A36&lt;&gt;"",IF(I$15="",VLOOKUP(A36,'DOE Fuel Esc Rates'!$T$9:$W$38,3,TRUE),I$15),"")</f>
        <v>2.780352177942591E-3</v>
      </c>
      <c r="J36" s="243">
        <f>((1+I36)*(1+'General Data'!$M$25))-1</f>
        <v>3.7831325301205254E-3</v>
      </c>
      <c r="K36" s="253">
        <f t="shared" si="11"/>
        <v>645715.18787496048</v>
      </c>
      <c r="L36" s="253">
        <f t="shared" si="1"/>
        <v>338656.04382270976</v>
      </c>
      <c r="M36" s="241">
        <f t="shared" si="2"/>
        <v>347103.73168566969</v>
      </c>
      <c r="N36" s="242">
        <f>IF($A36&lt;=$N$4,N$15*'General Data'!$S28,"")</f>
        <v>25380</v>
      </c>
      <c r="O36" s="243">
        <f>IF(A36&lt;&gt;"",IF(O$15="",VLOOKUP(A36,'DOE Fuel Esc Rates'!$T$9:$W$38,4,TRUE),O$15),"")</f>
        <v>1.7035775127768327E-2</v>
      </c>
      <c r="P36" s="243">
        <f>((1+O36)*(1+'General Data'!$M$25))-1</f>
        <v>1.8052810902895899E-2</v>
      </c>
      <c r="Q36" s="253">
        <f t="shared" si="12"/>
        <v>34125.810810810806</v>
      </c>
      <c r="R36" s="253">
        <f t="shared" si="3"/>
        <v>13643.000622572023</v>
      </c>
      <c r="S36" s="241">
        <f t="shared" si="4"/>
        <v>18344.304891161028</v>
      </c>
      <c r="T36" s="242">
        <f t="shared" si="5"/>
        <v>0</v>
      </c>
      <c r="U36" s="245">
        <f t="shared" si="6"/>
        <v>0</v>
      </c>
      <c r="V36" s="246">
        <f>IF($A36&lt;=$N$4,VLOOKUP(A36,'DOE Fuel Esc Rates'!$T$9:$W$38,2,TRUE),"")</f>
        <v>2035</v>
      </c>
      <c r="W36" s="247">
        <f t="shared" si="7"/>
        <v>679840.99868577125</v>
      </c>
      <c r="X36" s="241">
        <f t="shared" si="8"/>
        <v>365448.03657683072</v>
      </c>
      <c r="Y36" s="248">
        <f>IF(A36&lt;&gt;"",SUM(X$15:X36),"")</f>
        <v>10496710.297431599</v>
      </c>
      <c r="Z36" s="249">
        <f>IF(A36&lt;&gt;"",LCC0!Y36-Y36,"")</f>
        <v>394368.81213660538</v>
      </c>
      <c r="AA36" s="312" t="str">
        <f>IF(A36&lt;&gt;"",IF(Z36&gt;0,IF(SUM(AA$16:AA35)=0,A35+(-Z35)/(Z36-Z35),""),""),"")</f>
        <v/>
      </c>
      <c r="AB36" s="198"/>
      <c r="AC36" s="251">
        <f t="shared" si="9"/>
        <v>679840.99868577125</v>
      </c>
      <c r="AE36" s="198"/>
    </row>
    <row r="37" spans="1:31" x14ac:dyDescent="0.2">
      <c r="A37" s="176">
        <f t="shared" si="13"/>
        <v>22</v>
      </c>
      <c r="B37" s="56"/>
      <c r="C37" s="51">
        <v>0</v>
      </c>
      <c r="D37" s="252">
        <f t="shared" si="10"/>
        <v>0</v>
      </c>
      <c r="E37" s="56"/>
      <c r="F37" s="51">
        <v>0</v>
      </c>
      <c r="G37" s="241">
        <f t="shared" si="0"/>
        <v>0</v>
      </c>
      <c r="H37" s="242">
        <f>IF($A37&lt;=$N$4,H$15*'General Data'!$S29,"")</f>
        <v>630000</v>
      </c>
      <c r="I37" s="243">
        <f>IF(A37&lt;&gt;"",IF(I$15="",VLOOKUP(A37,'DOE Fuel Esc Rates'!$T$9:$W$38,3,TRUE),I$15),"")</f>
        <v>4.6210720887245316E-3</v>
      </c>
      <c r="J37" s="243">
        <f>((1+I37)*(1+'General Data'!$M$25))-1</f>
        <v>5.6256931608131833E-3</v>
      </c>
      <c r="K37" s="253">
        <f t="shared" si="11"/>
        <v>648699.08430691494</v>
      </c>
      <c r="L37" s="253">
        <f t="shared" si="1"/>
        <v>328792.27555602888</v>
      </c>
      <c r="M37" s="241">
        <f t="shared" si="2"/>
        <v>338551.18742917903</v>
      </c>
      <c r="N37" s="242">
        <f>IF($A37&lt;=$N$4,N$15*'General Data'!$S29,"")</f>
        <v>25380</v>
      </c>
      <c r="O37" s="243">
        <f>IF(A37&lt;&gt;"",IF(O$15="",VLOOKUP(A37,'DOE Fuel Esc Rates'!$T$9:$W$38,4,TRUE),O$15),"")</f>
        <v>1.0050251256281451E-2</v>
      </c>
      <c r="P37" s="243">
        <f>((1+O37)*(1+'General Data'!$M$25))-1</f>
        <v>1.1060301507537673E-2</v>
      </c>
      <c r="Q37" s="253">
        <f t="shared" si="12"/>
        <v>34468.78378378378</v>
      </c>
      <c r="R37" s="253">
        <f t="shared" si="3"/>
        <v>13245.631672400021</v>
      </c>
      <c r="S37" s="241">
        <f t="shared" si="4"/>
        <v>17988.999771300027</v>
      </c>
      <c r="T37" s="242">
        <f t="shared" si="5"/>
        <v>0</v>
      </c>
      <c r="U37" s="245">
        <f t="shared" si="6"/>
        <v>0</v>
      </c>
      <c r="V37" s="246">
        <f>IF($A37&lt;=$N$4,VLOOKUP(A37,'DOE Fuel Esc Rates'!$T$9:$W$38,2,TRUE),"")</f>
        <v>2036</v>
      </c>
      <c r="W37" s="247">
        <f t="shared" si="7"/>
        <v>683167.86809069873</v>
      </c>
      <c r="X37" s="241">
        <f t="shared" si="8"/>
        <v>356540.18720047903</v>
      </c>
      <c r="Y37" s="248">
        <f>IF(A37&lt;&gt;"",SUM(X$15:X37),"")</f>
        <v>10853250.484632079</v>
      </c>
      <c r="Z37" s="249">
        <f>IF(A37&lt;&gt;"",LCC0!Y37-Y37,"")</f>
        <v>408464.82739683241</v>
      </c>
      <c r="AA37" s="312" t="str">
        <f>IF(A37&lt;&gt;"",IF(Z37&gt;0,IF(SUM(AA$16:AA36)=0,A36+(-Z36)/(Z37-Z36),""),""),"")</f>
        <v/>
      </c>
      <c r="AB37" s="198"/>
      <c r="AC37" s="251">
        <f t="shared" si="9"/>
        <v>683167.86809069873</v>
      </c>
      <c r="AE37" s="198"/>
    </row>
    <row r="38" spans="1:31" x14ac:dyDescent="0.2">
      <c r="A38" s="176">
        <f t="shared" si="13"/>
        <v>23</v>
      </c>
      <c r="B38" s="56"/>
      <c r="C38" s="51">
        <v>0</v>
      </c>
      <c r="D38" s="252">
        <f t="shared" si="10"/>
        <v>0</v>
      </c>
      <c r="E38" s="56"/>
      <c r="F38" s="51">
        <v>0</v>
      </c>
      <c r="G38" s="241">
        <f t="shared" si="0"/>
        <v>0</v>
      </c>
      <c r="H38" s="242">
        <f>IF($A38&lt;=$N$4,H$15*'General Data'!$S30,"")</f>
        <v>630000</v>
      </c>
      <c r="I38" s="243">
        <f>IF(A38&lt;&gt;"",IF(I$15="",VLOOKUP(A38,'DOE Fuel Esc Rates'!$T$9:$W$38,3,TRUE),I$15),"")</f>
        <v>4.9064704078505272E-3</v>
      </c>
      <c r="J38" s="243">
        <f>((1+I38)*(1+'General Data'!$M$25))-1</f>
        <v>5.9113768782581566E-3</v>
      </c>
      <c r="K38" s="253">
        <f t="shared" si="11"/>
        <v>651881.90716766659</v>
      </c>
      <c r="L38" s="253">
        <f t="shared" si="1"/>
        <v>319215.80151070765</v>
      </c>
      <c r="M38" s="241">
        <f t="shared" si="2"/>
        <v>330303.18331246887</v>
      </c>
      <c r="N38" s="242">
        <f>IF($A38&lt;=$N$4,N$15*'General Data'!$S30,"")</f>
        <v>25380</v>
      </c>
      <c r="O38" s="243">
        <f>IF(A38&lt;&gt;"",IF(O$15="",VLOOKUP(A38,'DOE Fuel Esc Rates'!$T$9:$W$38,4,TRUE),O$15),"")</f>
        <v>1.8242122719734466E-2</v>
      </c>
      <c r="P38" s="243">
        <f>((1+O38)*(1+'General Data'!$M$25))-1</f>
        <v>1.9260364842454081E-2</v>
      </c>
      <c r="Q38" s="253">
        <f t="shared" si="12"/>
        <v>35097.567567567559</v>
      </c>
      <c r="R38" s="253">
        <f t="shared" si="3"/>
        <v>12859.836575145649</v>
      </c>
      <c r="S38" s="241">
        <f t="shared" si="4"/>
        <v>17783.647876440151</v>
      </c>
      <c r="T38" s="242">
        <f t="shared" si="5"/>
        <v>0</v>
      </c>
      <c r="U38" s="245">
        <f t="shared" si="6"/>
        <v>0</v>
      </c>
      <c r="V38" s="246">
        <f>IF($A38&lt;=$N$4,VLOOKUP(A38,'DOE Fuel Esc Rates'!$T$9:$W$38,2,TRUE),"")</f>
        <v>2037</v>
      </c>
      <c r="W38" s="247">
        <f t="shared" si="7"/>
        <v>686979.47473523417</v>
      </c>
      <c r="X38" s="241">
        <f t="shared" si="8"/>
        <v>348086.83118890901</v>
      </c>
      <c r="Y38" s="248">
        <f>IF(A38&lt;&gt;"",SUM(X$15:X38),"")</f>
        <v>11201337.315820988</v>
      </c>
      <c r="Z38" s="249">
        <f>IF(A38&lt;&gt;"",LCC0!Y38-Y38,"")</f>
        <v>422216.87576013245</v>
      </c>
      <c r="AA38" s="312" t="str">
        <f>IF(A38&lt;&gt;"",IF(Z38&gt;0,IF(SUM(AA$16:AA37)=0,A37+(-Z37)/(Z38-Z37),""),""),"")</f>
        <v/>
      </c>
      <c r="AB38" s="198"/>
      <c r="AC38" s="251">
        <f t="shared" si="9"/>
        <v>686979.47473523417</v>
      </c>
      <c r="AE38" s="198"/>
    </row>
    <row r="39" spans="1:31" x14ac:dyDescent="0.2">
      <c r="A39" s="176">
        <f t="shared" si="13"/>
        <v>24</v>
      </c>
      <c r="B39" s="56"/>
      <c r="C39" s="51">
        <v>0</v>
      </c>
      <c r="D39" s="252">
        <f t="shared" si="10"/>
        <v>0</v>
      </c>
      <c r="E39" s="56"/>
      <c r="F39" s="51">
        <v>0</v>
      </c>
      <c r="G39" s="241">
        <f t="shared" si="0"/>
        <v>0</v>
      </c>
      <c r="H39" s="242">
        <f>IF($A39&lt;=$N$4,H$15*'General Data'!$S31,"")</f>
        <v>630000</v>
      </c>
      <c r="I39" s="243">
        <f>IF(A39&lt;&gt;"",IF(I$15="",VLOOKUP(A39,'DOE Fuel Esc Rates'!$T$9:$W$38,3,TRUE),I$15),"")</f>
        <v>4.8825144949649069E-3</v>
      </c>
      <c r="J39" s="243">
        <f>((1+I39)*(1+'General Data'!$M$25))-1</f>
        <v>5.8873970094597272E-3</v>
      </c>
      <c r="K39" s="253">
        <f t="shared" si="11"/>
        <v>655064.73002841813</v>
      </c>
      <c r="L39" s="253">
        <f t="shared" si="1"/>
        <v>309918.25389389094</v>
      </c>
      <c r="M39" s="241">
        <f t="shared" si="2"/>
        <v>322248.44018711179</v>
      </c>
      <c r="N39" s="242">
        <f>IF($A39&lt;=$N$4,N$15*'General Data'!$S31,"")</f>
        <v>25380</v>
      </c>
      <c r="O39" s="243">
        <f>IF(A39&lt;&gt;"",IF(O$15="",VLOOKUP(A39,'DOE Fuel Esc Rates'!$T$9:$W$38,4,TRUE),O$15),"")</f>
        <v>2.6058631921824116E-2</v>
      </c>
      <c r="P39" s="243">
        <f>((1+O39)*(1+'General Data'!$M$25))-1</f>
        <v>2.7084690553745849E-2</v>
      </c>
      <c r="Q39" s="253">
        <f t="shared" si="12"/>
        <v>36012.162162162153</v>
      </c>
      <c r="R39" s="253">
        <f t="shared" si="3"/>
        <v>12485.278228296749</v>
      </c>
      <c r="S39" s="241">
        <f t="shared" si="4"/>
        <v>17715.597486096736</v>
      </c>
      <c r="T39" s="242">
        <f t="shared" si="5"/>
        <v>0</v>
      </c>
      <c r="U39" s="245">
        <f t="shared" si="6"/>
        <v>0</v>
      </c>
      <c r="V39" s="246">
        <f>IF($A39&lt;=$N$4,VLOOKUP(A39,'DOE Fuel Esc Rates'!$T$9:$W$38,2,TRUE),"")</f>
        <v>2038</v>
      </c>
      <c r="W39" s="247">
        <f t="shared" si="7"/>
        <v>691076.89219058026</v>
      </c>
      <c r="X39" s="241">
        <f t="shared" si="8"/>
        <v>339964.03767320851</v>
      </c>
      <c r="Y39" s="248">
        <f>IF(A39&lt;&gt;"",SUM(X$15:X39),"")</f>
        <v>11541301.353494197</v>
      </c>
      <c r="Z39" s="249">
        <f>IF(A39&lt;&gt;"",LCC0!Y39-Y39,"")</f>
        <v>435632.70358377881</v>
      </c>
      <c r="AA39" s="312" t="str">
        <f>IF(A39&lt;&gt;"",IF(Z39&gt;0,IF(SUM(AA$16:AA38)=0,A38+(-Z38)/(Z39-Z38),""),""),"")</f>
        <v/>
      </c>
      <c r="AB39" s="198"/>
      <c r="AC39" s="251">
        <f t="shared" si="9"/>
        <v>691076.89219058026</v>
      </c>
      <c r="AE39" s="198"/>
    </row>
    <row r="40" spans="1:31" x14ac:dyDescent="0.2">
      <c r="A40" s="176">
        <f t="shared" si="13"/>
        <v>25</v>
      </c>
      <c r="B40" s="56" t="s">
        <v>52</v>
      </c>
      <c r="C40" s="51">
        <v>0</v>
      </c>
      <c r="D40" s="252">
        <f t="shared" si="10"/>
        <v>0</v>
      </c>
      <c r="E40" s="56"/>
      <c r="F40" s="51">
        <v>0</v>
      </c>
      <c r="G40" s="241">
        <f t="shared" si="0"/>
        <v>0</v>
      </c>
      <c r="H40" s="242">
        <f>IF($A40&lt;=$N$4,H$15*'General Data'!$S32,"")</f>
        <v>630000</v>
      </c>
      <c r="I40" s="243">
        <f>IF(A40&lt;&gt;"",IF(I$15="",VLOOKUP(A40,'DOE Fuel Esc Rates'!$T$9:$W$38,3,TRUE),I$15),"")</f>
        <v>5.1624658366231646E-3</v>
      </c>
      <c r="J40" s="243">
        <f>((1+I40)*(1+'General Data'!$M$25))-1</f>
        <v>6.167628302459649E-3</v>
      </c>
      <c r="K40" s="253">
        <f t="shared" si="11"/>
        <v>658446.47931796662</v>
      </c>
      <c r="L40" s="253">
        <f t="shared" si="1"/>
        <v>300891.50863484561</v>
      </c>
      <c r="M40" s="241">
        <f t="shared" si="2"/>
        <v>314477.70558299305</v>
      </c>
      <c r="N40" s="242">
        <f>IF($A40&lt;=$N$4,N$15*'General Data'!$S32,"")</f>
        <v>25380</v>
      </c>
      <c r="O40" s="243">
        <f>IF(A40&lt;&gt;"",IF(O$15="",VLOOKUP(A40,'DOE Fuel Esc Rates'!$T$9:$W$38,4,TRUE),O$15),"")</f>
        <v>2.4603174603174738E-2</v>
      </c>
      <c r="P40" s="243">
        <f>((1+O40)*(1+'General Data'!$M$25))-1</f>
        <v>2.5627777777777805E-2</v>
      </c>
      <c r="Q40" s="253">
        <f t="shared" si="12"/>
        <v>36898.175675675673</v>
      </c>
      <c r="R40" s="253">
        <f t="shared" si="3"/>
        <v>12121.629347860922</v>
      </c>
      <c r="S40" s="241">
        <f t="shared" si="4"/>
        <v>17622.774198297804</v>
      </c>
      <c r="T40" s="242">
        <f t="shared" si="5"/>
        <v>0</v>
      </c>
      <c r="U40" s="245">
        <f t="shared" si="6"/>
        <v>0</v>
      </c>
      <c r="V40" s="246">
        <f>IF($A40&lt;=$N$4,VLOOKUP(A40,'DOE Fuel Esc Rates'!$T$9:$W$38,2,TRUE),"")</f>
        <v>2039</v>
      </c>
      <c r="W40" s="247">
        <f t="shared" si="7"/>
        <v>695344.65499364224</v>
      </c>
      <c r="X40" s="241">
        <f t="shared" si="8"/>
        <v>332100.47978129087</v>
      </c>
      <c r="Y40" s="248">
        <f>IF(A40&lt;&gt;"",SUM(X$15:X40),"")</f>
        <v>11873401.833275488</v>
      </c>
      <c r="Z40" s="249">
        <f>IF(A40&lt;&gt;"",LCC0!Y40-Y40,"")</f>
        <v>448724.23016935401</v>
      </c>
      <c r="AA40" s="312" t="str">
        <f>IF(A40&lt;&gt;"",IF(Z40&gt;0,IF(SUM(AA$16:AA39)=0,A39+(-Z39)/(Z40-Z39),""),""),"")</f>
        <v/>
      </c>
      <c r="AB40" s="198"/>
      <c r="AC40" s="251">
        <f t="shared" si="9"/>
        <v>695344.65499364224</v>
      </c>
      <c r="AE40" s="198"/>
    </row>
    <row r="41" spans="1:31" s="124" customFormat="1" ht="11.25" customHeight="1" thickBot="1" x14ac:dyDescent="0.25">
      <c r="A41" s="254"/>
      <c r="B41" s="255"/>
      <c r="C41" s="256"/>
      <c r="D41" s="257"/>
      <c r="E41" s="256"/>
      <c r="F41" s="256"/>
      <c r="G41" s="258"/>
      <c r="H41" s="259"/>
      <c r="I41" s="260"/>
      <c r="J41" s="260"/>
      <c r="K41" s="253"/>
      <c r="L41" s="253"/>
      <c r="M41" s="241"/>
      <c r="N41" s="261"/>
      <c r="O41" s="260"/>
      <c r="P41" s="260"/>
      <c r="Q41" s="260"/>
      <c r="R41" s="253"/>
      <c r="S41" s="241"/>
      <c r="T41" s="251"/>
      <c r="U41" s="258"/>
      <c r="V41" s="129"/>
      <c r="W41" s="129"/>
      <c r="X41" s="262"/>
      <c r="Y41" s="263"/>
      <c r="Z41" s="264"/>
      <c r="AA41" s="265"/>
    </row>
    <row r="42" spans="1:31" s="124" customFormat="1" ht="2.25" customHeight="1" x14ac:dyDescent="0.2">
      <c r="A42" s="266"/>
      <c r="B42" s="267"/>
      <c r="C42" s="267"/>
      <c r="D42" s="268"/>
      <c r="E42" s="267"/>
      <c r="F42" s="267"/>
      <c r="G42" s="269"/>
      <c r="H42" s="270"/>
      <c r="I42" s="271"/>
      <c r="J42" s="271"/>
      <c r="K42" s="271"/>
      <c r="L42" s="271"/>
      <c r="M42" s="272"/>
      <c r="N42" s="271"/>
      <c r="O42" s="271"/>
      <c r="P42" s="271"/>
      <c r="Q42" s="271"/>
      <c r="R42" s="271"/>
      <c r="S42" s="272"/>
      <c r="T42" s="273"/>
      <c r="U42" s="269"/>
      <c r="V42" s="273"/>
      <c r="W42" s="273"/>
      <c r="X42" s="269"/>
      <c r="Y42" s="274"/>
      <c r="Z42" s="273"/>
      <c r="AA42" s="275"/>
    </row>
    <row r="43" spans="1:31" s="289" customFormat="1" x14ac:dyDescent="0.2">
      <c r="A43" s="276"/>
      <c r="B43" s="277"/>
      <c r="C43" s="278">
        <f>SUM(C15:C40)</f>
        <v>74880</v>
      </c>
      <c r="D43" s="279">
        <f>+SUM(D15:D40)</f>
        <v>74880</v>
      </c>
      <c r="E43" s="278"/>
      <c r="F43" s="278">
        <f>SUM(F15:F40)</f>
        <v>0</v>
      </c>
      <c r="G43" s="280">
        <f>+SUM(G15:G40)</f>
        <v>0</v>
      </c>
      <c r="H43" s="281">
        <f>SUM(H16:H40)</f>
        <v>15750000</v>
      </c>
      <c r="I43" s="129"/>
      <c r="J43" s="129"/>
      <c r="K43" s="282">
        <f>SUM(K16:K40)</f>
        <v>16176697.189769497</v>
      </c>
      <c r="L43" s="282">
        <f>SUM(L16:L40)</f>
        <v>10970283.045505153</v>
      </c>
      <c r="M43" s="280">
        <f>+SUM(M16:M40)</f>
        <v>11267666.31993974</v>
      </c>
      <c r="N43" s="281">
        <f>SUM(N16:N40)</f>
        <v>634500</v>
      </c>
      <c r="O43" s="283"/>
      <c r="P43" s="129"/>
      <c r="Q43" s="282">
        <f>SUM(Q16:Q40)</f>
        <v>778005.60810810805</v>
      </c>
      <c r="R43" s="282">
        <f>SUM(R16:R40)</f>
        <v>441945.68840463611</v>
      </c>
      <c r="S43" s="280">
        <f>+SUM(S16:S40)</f>
        <v>530855.51333574625</v>
      </c>
      <c r="T43" s="281">
        <f>SUM(T16:T40)</f>
        <v>0</v>
      </c>
      <c r="U43" s="284">
        <f>+SUM(U16:U40)</f>
        <v>0</v>
      </c>
      <c r="V43" s="283"/>
      <c r="W43" s="285">
        <f>SUM(W15:W40)</f>
        <v>17029582.797877602</v>
      </c>
      <c r="X43" s="284">
        <f>+SUM(X15:X40)</f>
        <v>11873401.833275488</v>
      </c>
      <c r="Y43" s="286">
        <f>X43</f>
        <v>11873401.833275488</v>
      </c>
      <c r="Z43" s="287" t="s">
        <v>49</v>
      </c>
      <c r="AA43" s="314">
        <f>IF(SUM(AA16:AA40)&gt;0,SUM(AA16:AA40),"&gt;"&amp;T4)</f>
        <v>0.78566152395690869</v>
      </c>
      <c r="AC43" s="289">
        <f>+SUM(AC15:AC40)</f>
        <v>16954702.797877602</v>
      </c>
    </row>
    <row r="44" spans="1:31" s="124" customFormat="1" ht="5.25" customHeight="1" thickBot="1" x14ac:dyDescent="0.25">
      <c r="A44" s="290"/>
      <c r="B44" s="291"/>
      <c r="C44" s="291"/>
      <c r="D44" s="292"/>
      <c r="E44" s="291"/>
      <c r="F44" s="291"/>
      <c r="G44" s="293"/>
      <c r="H44" s="291"/>
      <c r="I44" s="294"/>
      <c r="J44" s="294"/>
      <c r="K44" s="294"/>
      <c r="L44" s="294"/>
      <c r="M44" s="293"/>
      <c r="N44" s="294"/>
      <c r="O44" s="294"/>
      <c r="P44" s="294"/>
      <c r="Q44" s="294"/>
      <c r="R44" s="294"/>
      <c r="S44" s="293"/>
      <c r="T44" s="294"/>
      <c r="U44" s="293"/>
      <c r="V44" s="294"/>
      <c r="W44" s="294"/>
      <c r="X44" s="293"/>
      <c r="Y44" s="295"/>
      <c r="Z44" s="294"/>
      <c r="AA44" s="293"/>
    </row>
    <row r="45" spans="1:31" s="124" customFormat="1" ht="6" customHeight="1" x14ac:dyDescent="0.2">
      <c r="A45" s="129"/>
      <c r="B45" s="296"/>
      <c r="C45" s="296"/>
      <c r="D45" s="296"/>
      <c r="E45" s="296"/>
      <c r="F45" s="74"/>
      <c r="G45" s="74"/>
      <c r="H45" s="296"/>
      <c r="I45" s="74"/>
      <c r="J45" s="74"/>
      <c r="K45" s="74"/>
      <c r="L45" s="74"/>
      <c r="M45" s="74"/>
      <c r="N45" s="74"/>
      <c r="O45" s="74"/>
      <c r="P45" s="74"/>
      <c r="Q45" s="74"/>
      <c r="R45" s="74"/>
      <c r="S45" s="74"/>
      <c r="T45" s="74"/>
      <c r="U45" s="74"/>
      <c r="V45" s="74"/>
      <c r="W45" s="74"/>
      <c r="X45" s="74"/>
      <c r="AA45" s="141"/>
    </row>
    <row r="46" spans="1:31" x14ac:dyDescent="0.2">
      <c r="B46" s="297" t="s">
        <v>53</v>
      </c>
      <c r="C46" s="298" t="s">
        <v>1</v>
      </c>
      <c r="I46" s="299"/>
      <c r="J46" s="299"/>
      <c r="M46" s="251"/>
      <c r="P46" s="299"/>
      <c r="S46" s="300"/>
      <c r="U46" s="301"/>
      <c r="X46" s="302"/>
    </row>
    <row r="47" spans="1:31" x14ac:dyDescent="0.2">
      <c r="C47" s="304" t="s">
        <v>201</v>
      </c>
      <c r="M47" s="251"/>
      <c r="X47" s="302"/>
    </row>
    <row r="48" spans="1:31" x14ac:dyDescent="0.2">
      <c r="L48" s="305"/>
      <c r="X48" s="302"/>
    </row>
    <row r="49" spans="8:24" x14ac:dyDescent="0.2">
      <c r="H49" s="306"/>
      <c r="L49" s="305"/>
      <c r="M49" s="251"/>
    </row>
    <row r="50" spans="8:24" x14ac:dyDescent="0.2">
      <c r="H50" s="255"/>
      <c r="M50" s="251"/>
      <c r="X50" s="307"/>
    </row>
    <row r="51" spans="8:24" x14ac:dyDescent="0.2">
      <c r="M51" s="308"/>
      <c r="X51" s="309"/>
    </row>
    <row r="52" spans="8:24" x14ac:dyDescent="0.2">
      <c r="H52" s="306"/>
      <c r="M52" s="308"/>
    </row>
    <row r="53" spans="8:24" x14ac:dyDescent="0.2">
      <c r="H53" s="306"/>
    </row>
    <row r="54" spans="8:24" x14ac:dyDescent="0.2">
      <c r="H54" s="310"/>
    </row>
    <row r="56" spans="8:24" x14ac:dyDescent="0.2">
      <c r="H56" s="311"/>
      <c r="M56" s="307"/>
    </row>
  </sheetData>
  <phoneticPr fontId="0" type="noConversion"/>
  <printOptions horizontalCentered="1"/>
  <pageMargins left="0.35" right="0.35" top="0.75" bottom="0.75" header="0.5" footer="0.5"/>
  <pageSetup paperSize="4" scale="70" orientation="landscape" horizontalDpi="4294967292"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E56"/>
  <sheetViews>
    <sheetView zoomScale="80" workbookViewId="0">
      <pane xSplit="1" topLeftCell="B1" activePane="topRight" state="frozenSplit"/>
      <selection activeCell="B4" sqref="B4"/>
      <selection pane="topRight" activeCell="B4" sqref="B4"/>
    </sheetView>
  </sheetViews>
  <sheetFormatPr defaultRowHeight="12.75" x14ac:dyDescent="0.2"/>
  <cols>
    <col min="1" max="1" width="4.5703125" style="129" customWidth="1"/>
    <col min="2" max="3" width="12" style="296" customWidth="1"/>
    <col min="4" max="5" width="10.7109375" style="296" customWidth="1"/>
    <col min="6" max="7" width="11.140625" style="74" customWidth="1"/>
    <col min="8" max="8" width="12.5703125" style="296" customWidth="1"/>
    <col min="9" max="9" width="10.28515625" style="74" customWidth="1"/>
    <col min="10" max="10" width="10.28515625" style="74" hidden="1" customWidth="1"/>
    <col min="11" max="12" width="13.42578125" style="74" hidden="1" customWidth="1"/>
    <col min="13" max="13" width="14.7109375" style="74" customWidth="1"/>
    <col min="14" max="14" width="10.5703125" style="74" customWidth="1"/>
    <col min="15" max="15" width="11" style="74" customWidth="1"/>
    <col min="16" max="16" width="10.28515625" style="74" hidden="1" customWidth="1"/>
    <col min="17" max="17" width="11" style="74" hidden="1" customWidth="1"/>
    <col min="18" max="18" width="12.140625" style="74" hidden="1" customWidth="1"/>
    <col min="19" max="19" width="12" style="74" customWidth="1"/>
    <col min="20" max="20" width="11.28515625" style="74" customWidth="1"/>
    <col min="21" max="21" width="12.7109375" style="74" customWidth="1"/>
    <col min="22" max="22" width="6" style="74" customWidth="1"/>
    <col min="23" max="23" width="15.28515625" style="74" hidden="1" customWidth="1"/>
    <col min="24" max="24" width="16" style="74" customWidth="1"/>
    <col min="25" max="25" width="14.5703125" style="74" customWidth="1"/>
    <col min="26" max="26" width="14.42578125" style="74" customWidth="1"/>
    <col min="27" max="27" width="11.85546875" style="303" customWidth="1"/>
    <col min="28" max="28" width="9.140625" style="74"/>
    <col min="29" max="29" width="10" style="74" hidden="1" customWidth="1"/>
    <col min="30" max="16384" width="9.140625" style="74"/>
  </cols>
  <sheetData>
    <row r="1" spans="1:31" s="124" customFormat="1" ht="13.5" thickBot="1" x14ac:dyDescent="0.25">
      <c r="A1" s="139"/>
      <c r="B1" s="140"/>
      <c r="C1" s="140"/>
      <c r="D1" s="140"/>
      <c r="E1" s="140"/>
      <c r="H1" s="140"/>
      <c r="AA1" s="141"/>
    </row>
    <row r="2" spans="1:31" ht="5.25" customHeight="1" thickTop="1" x14ac:dyDescent="0.2">
      <c r="A2" s="142"/>
      <c r="B2" s="143"/>
      <c r="C2" s="143"/>
      <c r="D2" s="143"/>
      <c r="E2" s="143"/>
      <c r="F2" s="143"/>
      <c r="G2" s="143"/>
      <c r="H2" s="144"/>
      <c r="I2" s="144"/>
      <c r="J2" s="144"/>
      <c r="K2" s="144"/>
      <c r="L2" s="144"/>
      <c r="M2" s="144"/>
      <c r="N2" s="144"/>
      <c r="O2" s="144"/>
      <c r="P2" s="144"/>
      <c r="Q2" s="144"/>
      <c r="R2" s="144"/>
      <c r="S2" s="144"/>
      <c r="T2" s="144"/>
      <c r="U2" s="144"/>
      <c r="V2" s="144"/>
      <c r="W2" s="144"/>
      <c r="X2" s="145"/>
      <c r="Y2" s="146"/>
      <c r="Z2" s="144"/>
      <c r="AA2" s="145"/>
    </row>
    <row r="3" spans="1:31" ht="15.75" x14ac:dyDescent="0.25">
      <c r="A3" s="147"/>
      <c r="B3" s="69" t="s">
        <v>232</v>
      </c>
      <c r="C3" s="69"/>
      <c r="D3" s="148"/>
      <c r="E3" s="148"/>
      <c r="G3" s="149" t="s">
        <v>190</v>
      </c>
      <c r="H3" s="150" t="str">
        <f>'General Data'!A12&amp;"/"&amp;'General Data'!H12</f>
        <v>4/2015</v>
      </c>
      <c r="M3" s="151" t="s">
        <v>193</v>
      </c>
      <c r="N3" s="152">
        <f>N4-H4</f>
        <v>25</v>
      </c>
      <c r="R3" s="153"/>
      <c r="S3" s="149" t="s">
        <v>11</v>
      </c>
      <c r="T3" s="154">
        <f>'General Data'!H10</f>
        <v>2015</v>
      </c>
      <c r="V3" s="149" t="s">
        <v>12</v>
      </c>
      <c r="W3" s="149"/>
      <c r="X3" s="155" t="str">
        <f>IF('General Data'!$H$21=1,"Northeast",IF('General Data'!$H$21=2,"Midwest",IF('General Data'!$H$21=3,"South",IF('General Data'!$H$21=4,"West",IF('General Data'!$H$21=5,"United States Average","error")))))</f>
        <v>West</v>
      </c>
      <c r="Y3" s="156"/>
      <c r="Z3" s="157"/>
      <c r="AA3" s="155"/>
    </row>
    <row r="4" spans="1:31" ht="15.75" x14ac:dyDescent="0.25">
      <c r="A4" s="147"/>
      <c r="B4" s="69" t="s">
        <v>233</v>
      </c>
      <c r="C4" s="69"/>
      <c r="D4" s="148"/>
      <c r="E4" s="148"/>
      <c r="G4" s="158" t="s">
        <v>195</v>
      </c>
      <c r="H4" s="159">
        <f>'General Data'!H13-'General Data'!H12</f>
        <v>0</v>
      </c>
      <c r="M4" s="151" t="s">
        <v>194</v>
      </c>
      <c r="N4" s="160">
        <f>'General Data'!$H$18</f>
        <v>25</v>
      </c>
      <c r="R4" s="153"/>
      <c r="S4" s="151" t="s">
        <v>255</v>
      </c>
      <c r="T4" s="161">
        <f>'General Data'!H15</f>
        <v>0.03</v>
      </c>
      <c r="V4" s="149" t="s">
        <v>13</v>
      </c>
      <c r="W4" s="149"/>
      <c r="X4" s="155" t="str">
        <f>IF('General Data'!$H$24=1,"Residential",IF('General Data'!$H$24=2,"Commercial",IF('General Data'!$H$24=3,"Industrial","error")))</f>
        <v>Commercial</v>
      </c>
      <c r="Y4" s="156"/>
      <c r="Z4" s="157"/>
      <c r="AA4" s="155"/>
    </row>
    <row r="5" spans="1:31" ht="17.25" customHeight="1" thickBot="1" x14ac:dyDescent="0.25">
      <c r="A5" s="162"/>
      <c r="B5" s="163"/>
      <c r="C5" s="163"/>
      <c r="D5" s="163"/>
      <c r="E5" s="163"/>
      <c r="F5" s="163"/>
      <c r="G5" s="163"/>
      <c r="H5" s="163"/>
      <c r="I5" s="164"/>
      <c r="J5" s="164"/>
      <c r="K5" s="164"/>
      <c r="L5" s="164"/>
      <c r="M5" s="164"/>
      <c r="N5" s="164"/>
      <c r="O5" s="164"/>
      <c r="P5" s="164"/>
      <c r="Q5" s="164"/>
      <c r="R5" s="164"/>
      <c r="S5" s="350" t="s">
        <v>254</v>
      </c>
      <c r="T5" s="351">
        <f>'General Data'!H16</f>
        <v>0.03</v>
      </c>
      <c r="U5" s="164"/>
      <c r="V5" s="164"/>
      <c r="W5" s="164"/>
      <c r="X5" s="165"/>
      <c r="Y5" s="166"/>
      <c r="Z5" s="164"/>
      <c r="AA5" s="165"/>
    </row>
    <row r="6" spans="1:31" ht="5.25" customHeight="1" thickTop="1" x14ac:dyDescent="0.2">
      <c r="A6" s="167"/>
      <c r="B6" s="168"/>
      <c r="C6" s="168"/>
      <c r="D6" s="168"/>
      <c r="E6" s="168"/>
      <c r="F6" s="169"/>
      <c r="G6" s="170"/>
      <c r="H6" s="171"/>
      <c r="I6" s="172"/>
      <c r="J6" s="172"/>
      <c r="K6" s="172"/>
      <c r="L6" s="173"/>
      <c r="M6" s="174"/>
      <c r="N6" s="172"/>
      <c r="O6" s="172"/>
      <c r="P6" s="172"/>
      <c r="Q6" s="172"/>
      <c r="R6" s="173"/>
      <c r="S6" s="174"/>
      <c r="T6" s="172"/>
      <c r="U6" s="170"/>
      <c r="X6" s="174"/>
      <c r="Y6" s="175"/>
      <c r="Z6" s="124"/>
      <c r="AA6" s="174"/>
    </row>
    <row r="7" spans="1:31" x14ac:dyDescent="0.2">
      <c r="A7" s="176"/>
      <c r="B7" s="177" t="s">
        <v>14</v>
      </c>
      <c r="C7" s="177"/>
      <c r="D7" s="177"/>
      <c r="E7" s="177"/>
      <c r="F7" s="178"/>
      <c r="G7" s="179"/>
      <c r="H7" s="180" t="s">
        <v>15</v>
      </c>
      <c r="I7" s="181"/>
      <c r="J7" s="181"/>
      <c r="K7" s="181"/>
      <c r="L7" s="182"/>
      <c r="M7" s="183"/>
      <c r="N7" s="180" t="str">
        <f>IF('General Data'!$H$27=1,"NATURAL GAS COSTS",IF('General Data'!$H$27=2,"LPG FUEL COSTS",IF('General Data'!$H$27=3,"DISTILATE FUEL OIL COSTS",IF('General Data'!$H$27=4,"RESIDUAL FUEL OIL COSTS",IF('General Data'!$H$27=5,"COAL COSTS",IF('General Data'!$H$27=0,"NO 2ND FUEL USED","error?"))))))</f>
        <v>NATURAL GAS COSTS</v>
      </c>
      <c r="O7" s="181"/>
      <c r="P7" s="181"/>
      <c r="Q7" s="181"/>
      <c r="R7" s="182"/>
      <c r="S7" s="183"/>
      <c r="T7" s="180" t="s">
        <v>16</v>
      </c>
      <c r="U7" s="179"/>
      <c r="V7" s="180" t="s">
        <v>17</v>
      </c>
      <c r="W7" s="180"/>
      <c r="X7" s="183"/>
      <c r="Y7" s="184" t="s">
        <v>151</v>
      </c>
      <c r="Z7" s="177"/>
      <c r="AA7" s="185"/>
    </row>
    <row r="8" spans="1:31" x14ac:dyDescent="0.2">
      <c r="A8" s="176"/>
      <c r="B8" s="177"/>
      <c r="C8" s="177"/>
      <c r="D8" s="177"/>
      <c r="E8" s="177"/>
      <c r="F8" s="178"/>
      <c r="G8" s="179"/>
      <c r="H8" s="180" t="s">
        <v>18</v>
      </c>
      <c r="I8" s="181"/>
      <c r="J8" s="181"/>
      <c r="K8" s="181"/>
      <c r="L8" s="182"/>
      <c r="M8" s="183"/>
      <c r="N8" s="180" t="s">
        <v>18</v>
      </c>
      <c r="O8" s="181"/>
      <c r="P8" s="181"/>
      <c r="Q8" s="181"/>
      <c r="R8" s="182"/>
      <c r="S8" s="183"/>
      <c r="T8" s="180" t="s">
        <v>19</v>
      </c>
      <c r="U8" s="179"/>
      <c r="V8" s="180" t="s">
        <v>18</v>
      </c>
      <c r="W8" s="180"/>
      <c r="X8" s="186"/>
      <c r="Y8" s="187" t="s">
        <v>20</v>
      </c>
      <c r="Z8" s="188" t="s">
        <v>21</v>
      </c>
      <c r="AA8" s="189" t="s">
        <v>54</v>
      </c>
      <c r="AC8" s="190" t="s">
        <v>61</v>
      </c>
    </row>
    <row r="9" spans="1:31" ht="6" customHeight="1" x14ac:dyDescent="0.2">
      <c r="A9" s="176"/>
      <c r="B9" s="177"/>
      <c r="C9" s="177"/>
      <c r="D9" s="177"/>
      <c r="E9" s="177"/>
      <c r="F9" s="178"/>
      <c r="G9" s="179"/>
      <c r="H9" s="180"/>
      <c r="I9" s="181"/>
      <c r="J9" s="181"/>
      <c r="K9" s="181"/>
      <c r="L9" s="182"/>
      <c r="M9" s="183"/>
      <c r="N9" s="180"/>
      <c r="O9" s="181"/>
      <c r="P9" s="181"/>
      <c r="Q9" s="181"/>
      <c r="R9" s="182"/>
      <c r="S9" s="183"/>
      <c r="T9" s="180"/>
      <c r="U9" s="179"/>
      <c r="V9" s="180"/>
      <c r="W9" s="180"/>
      <c r="X9" s="183"/>
      <c r="Y9" s="191"/>
      <c r="Z9" s="192"/>
      <c r="AA9" s="183"/>
      <c r="AC9" s="190"/>
    </row>
    <row r="10" spans="1:31" s="198" customFormat="1" x14ac:dyDescent="0.2">
      <c r="A10" s="176"/>
      <c r="B10" s="153"/>
      <c r="C10" s="193" t="s">
        <v>22</v>
      </c>
      <c r="D10" s="193"/>
      <c r="E10" s="193"/>
      <c r="F10" s="188" t="s">
        <v>23</v>
      </c>
      <c r="G10" s="170"/>
      <c r="H10" s="194" t="s">
        <v>24</v>
      </c>
      <c r="I10" s="194" t="str">
        <f>'DOE Fuel Esc Rates'!H8</f>
        <v>Electric</v>
      </c>
      <c r="J10" s="194" t="str">
        <f>I10</f>
        <v>Electric</v>
      </c>
      <c r="K10" s="194" t="s">
        <v>25</v>
      </c>
      <c r="L10" s="173" t="s">
        <v>26</v>
      </c>
      <c r="M10" s="195" t="s">
        <v>26</v>
      </c>
      <c r="N10" s="194" t="s">
        <v>24</v>
      </c>
      <c r="O10" s="194" t="str">
        <f>'DOE Fuel Esc Rates'!$W$5</f>
        <v>Nat Gas</v>
      </c>
      <c r="P10" s="194" t="str">
        <f>O10</f>
        <v>Nat Gas</v>
      </c>
      <c r="Q10" s="194" t="s">
        <v>25</v>
      </c>
      <c r="R10" s="173" t="s">
        <v>26</v>
      </c>
      <c r="S10" s="195" t="s">
        <v>26</v>
      </c>
      <c r="T10" s="194" t="s">
        <v>24</v>
      </c>
      <c r="U10" s="195" t="s">
        <v>26</v>
      </c>
      <c r="V10" s="172"/>
      <c r="W10" s="194" t="s">
        <v>173</v>
      </c>
      <c r="X10" s="195" t="s">
        <v>26</v>
      </c>
      <c r="Y10" s="196" t="s">
        <v>26</v>
      </c>
      <c r="Z10" s="197" t="s">
        <v>26</v>
      </c>
      <c r="AA10" s="195"/>
      <c r="AB10" s="74"/>
      <c r="AC10" s="190" t="s">
        <v>173</v>
      </c>
    </row>
    <row r="11" spans="1:31" s="198" customFormat="1" x14ac:dyDescent="0.2">
      <c r="A11" s="176"/>
      <c r="B11" s="199"/>
      <c r="C11" s="200" t="s">
        <v>27</v>
      </c>
      <c r="D11" s="201"/>
      <c r="E11" s="201"/>
      <c r="F11" s="200" t="s">
        <v>28</v>
      </c>
      <c r="G11" s="179"/>
      <c r="H11" s="194" t="s">
        <v>29</v>
      </c>
      <c r="I11" s="194" t="s">
        <v>30</v>
      </c>
      <c r="J11" s="194" t="s">
        <v>200</v>
      </c>
      <c r="K11" s="173" t="s">
        <v>31</v>
      </c>
      <c r="L11" s="173" t="s">
        <v>31</v>
      </c>
      <c r="M11" s="195" t="s">
        <v>32</v>
      </c>
      <c r="N11" s="194" t="s">
        <v>29</v>
      </c>
      <c r="O11" s="194" t="s">
        <v>30</v>
      </c>
      <c r="P11" s="194" t="s">
        <v>200</v>
      </c>
      <c r="Q11" s="173" t="s">
        <v>31</v>
      </c>
      <c r="R11" s="173" t="s">
        <v>31</v>
      </c>
      <c r="S11" s="195" t="str">
        <f>O10</f>
        <v>Nat Gas</v>
      </c>
      <c r="T11" s="194" t="s">
        <v>29</v>
      </c>
      <c r="U11" s="202" t="s">
        <v>29</v>
      </c>
      <c r="V11" s="172"/>
      <c r="W11" s="203" t="s">
        <v>34</v>
      </c>
      <c r="X11" s="202" t="s">
        <v>34</v>
      </c>
      <c r="Y11" s="204" t="s">
        <v>152</v>
      </c>
      <c r="Z11" s="203" t="s">
        <v>152</v>
      </c>
      <c r="AA11" s="202" t="s">
        <v>26</v>
      </c>
      <c r="AC11" s="190" t="s">
        <v>182</v>
      </c>
    </row>
    <row r="12" spans="1:31" s="198" customFormat="1" x14ac:dyDescent="0.2">
      <c r="A12" s="176" t="s">
        <v>41</v>
      </c>
      <c r="B12" s="205" t="s">
        <v>35</v>
      </c>
      <c r="C12" s="206"/>
      <c r="D12" s="207" t="s">
        <v>26</v>
      </c>
      <c r="E12" s="205" t="s">
        <v>35</v>
      </c>
      <c r="F12" s="206"/>
      <c r="G12" s="208" t="s">
        <v>26</v>
      </c>
      <c r="H12" s="173" t="s">
        <v>32</v>
      </c>
      <c r="I12" s="194" t="s">
        <v>36</v>
      </c>
      <c r="J12" s="194" t="s">
        <v>36</v>
      </c>
      <c r="K12" s="173" t="s">
        <v>37</v>
      </c>
      <c r="L12" s="173" t="s">
        <v>38</v>
      </c>
      <c r="M12" s="209" t="s">
        <v>39</v>
      </c>
      <c r="N12" s="194" t="str">
        <f>O10</f>
        <v>Nat Gas</v>
      </c>
      <c r="O12" s="194" t="s">
        <v>36</v>
      </c>
      <c r="P12" s="194" t="s">
        <v>36</v>
      </c>
      <c r="Q12" s="173" t="s">
        <v>37</v>
      </c>
      <c r="R12" s="173" t="s">
        <v>38</v>
      </c>
      <c r="S12" s="209" t="s">
        <v>39</v>
      </c>
      <c r="T12" s="210" t="s">
        <v>40</v>
      </c>
      <c r="U12" s="179"/>
      <c r="V12" s="194" t="s">
        <v>41</v>
      </c>
      <c r="W12" s="203" t="s">
        <v>42</v>
      </c>
      <c r="X12" s="202" t="s">
        <v>42</v>
      </c>
      <c r="Y12" s="204" t="s">
        <v>42</v>
      </c>
      <c r="Z12" s="203" t="s">
        <v>43</v>
      </c>
      <c r="AA12" s="211" t="s">
        <v>54</v>
      </c>
      <c r="AC12" s="190" t="s">
        <v>42</v>
      </c>
    </row>
    <row r="13" spans="1:31" s="198" customFormat="1" x14ac:dyDescent="0.2">
      <c r="A13" s="176" t="s">
        <v>188</v>
      </c>
      <c r="B13" s="212" t="s">
        <v>44</v>
      </c>
      <c r="C13" s="213" t="s">
        <v>45</v>
      </c>
      <c r="D13" s="214" t="s">
        <v>46</v>
      </c>
      <c r="E13" s="212" t="s">
        <v>44</v>
      </c>
      <c r="F13" s="213" t="s">
        <v>45</v>
      </c>
      <c r="G13" s="211" t="s">
        <v>46</v>
      </c>
      <c r="H13" s="212" t="s">
        <v>45</v>
      </c>
      <c r="I13" s="215" t="s">
        <v>47</v>
      </c>
      <c r="J13" s="215" t="s">
        <v>47</v>
      </c>
      <c r="K13" s="216" t="s">
        <v>46</v>
      </c>
      <c r="L13" s="216" t="s">
        <v>46</v>
      </c>
      <c r="M13" s="211" t="s">
        <v>46</v>
      </c>
      <c r="N13" s="215" t="s">
        <v>45</v>
      </c>
      <c r="O13" s="215" t="s">
        <v>47</v>
      </c>
      <c r="P13" s="215" t="s">
        <v>47</v>
      </c>
      <c r="Q13" s="216" t="s">
        <v>46</v>
      </c>
      <c r="R13" s="216" t="s">
        <v>46</v>
      </c>
      <c r="S13" s="211" t="s">
        <v>46</v>
      </c>
      <c r="T13" s="215" t="s">
        <v>45</v>
      </c>
      <c r="U13" s="211" t="s">
        <v>46</v>
      </c>
      <c r="V13" s="194" t="s">
        <v>186</v>
      </c>
      <c r="W13" s="213" t="s">
        <v>174</v>
      </c>
      <c r="X13" s="211" t="s">
        <v>46</v>
      </c>
      <c r="Y13" s="217" t="s">
        <v>46</v>
      </c>
      <c r="Z13" s="218" t="s">
        <v>46</v>
      </c>
      <c r="AA13" s="219" t="s">
        <v>55</v>
      </c>
    </row>
    <row r="14" spans="1:31" ht="3.75" customHeight="1" x14ac:dyDescent="0.2">
      <c r="A14" s="220"/>
      <c r="B14" s="221"/>
      <c r="C14" s="222"/>
      <c r="D14" s="223"/>
      <c r="E14" s="221"/>
      <c r="F14" s="222"/>
      <c r="G14" s="224"/>
      <c r="H14" s="221"/>
      <c r="I14" s="129"/>
      <c r="J14" s="129"/>
      <c r="K14" s="129"/>
      <c r="L14" s="225"/>
      <c r="M14" s="174"/>
      <c r="N14" s="129"/>
      <c r="O14" s="129"/>
      <c r="P14" s="129"/>
      <c r="Q14" s="129"/>
      <c r="S14" s="174"/>
      <c r="U14" s="174"/>
      <c r="V14" s="129"/>
      <c r="W14" s="129"/>
      <c r="X14" s="174"/>
      <c r="Y14" s="175"/>
      <c r="Z14" s="124"/>
      <c r="AA14" s="174"/>
      <c r="AB14" s="198"/>
      <c r="AC14" s="198"/>
      <c r="AE14" s="198"/>
    </row>
    <row r="15" spans="1:31" x14ac:dyDescent="0.2">
      <c r="A15" s="226">
        <v>0</v>
      </c>
      <c r="B15" s="50" t="s">
        <v>48</v>
      </c>
      <c r="C15" s="50">
        <v>482040</v>
      </c>
      <c r="D15" s="227">
        <f>$C15/(1+disc)^$A15</f>
        <v>482040</v>
      </c>
      <c r="E15" s="228" t="s">
        <v>49</v>
      </c>
      <c r="F15" s="229" t="s">
        <v>49</v>
      </c>
      <c r="G15" s="230" t="s">
        <v>49</v>
      </c>
      <c r="H15" s="52">
        <v>620100</v>
      </c>
      <c r="I15" s="78" t="str">
        <f>IF('General Data'!$H$30="","",'General Data'!$H$30)</f>
        <v/>
      </c>
      <c r="J15" s="78"/>
      <c r="K15" s="231">
        <f>IF(A16=1,1,VLOOKUP(A16-1,'DOE Fuel Esc Rates'!T9:AB13,8,TRUE))</f>
        <v>1</v>
      </c>
      <c r="L15" s="232"/>
      <c r="M15" s="233"/>
      <c r="N15" s="53">
        <v>25620</v>
      </c>
      <c r="O15" s="78" t="str">
        <f>IF('General Data'!$H$31="","",'General Data'!$H$31)</f>
        <v/>
      </c>
      <c r="P15" s="78"/>
      <c r="Q15" s="234">
        <f>IF(A16=1,1,VLOOKUP(A16-1,'DOE Fuel Esc Rates'!T9:AB13,9,TRUE))</f>
        <v>1</v>
      </c>
      <c r="R15" s="232"/>
      <c r="S15" s="233"/>
      <c r="T15" s="53">
        <v>0</v>
      </c>
      <c r="U15" s="233"/>
      <c r="V15" s="235"/>
      <c r="W15" s="236">
        <f>+D15+M15+S15+U15</f>
        <v>482040</v>
      </c>
      <c r="X15" s="237">
        <f>+D15+M15+S15+U15</f>
        <v>482040</v>
      </c>
      <c r="Y15" s="238">
        <f>SUM(X$15:X15)</f>
        <v>482040</v>
      </c>
      <c r="Z15" s="236">
        <f>LCC0!Y15-Y15</f>
        <v>-427740</v>
      </c>
      <c r="AA15" s="237"/>
      <c r="AB15" s="198"/>
      <c r="AC15" s="198"/>
      <c r="AE15" s="198"/>
    </row>
    <row r="16" spans="1:31" x14ac:dyDescent="0.2">
      <c r="A16" s="239">
        <f>IF(ROW(A16)-ROW($A$15)+$H$4&lt;=$N$4,A15+1+$H$4,"")</f>
        <v>1</v>
      </c>
      <c r="B16" s="51"/>
      <c r="C16" s="51">
        <v>0</v>
      </c>
      <c r="D16" s="240">
        <f>IF($A16&lt;&gt;"",$C16/((1+$T$5)^$A16),"")</f>
        <v>0</v>
      </c>
      <c r="E16" s="51"/>
      <c r="F16" s="51">
        <v>0</v>
      </c>
      <c r="G16" s="241">
        <f t="shared" ref="G16:G40" si="0">IF($A16&lt;&gt;"",$F16/((1+disc)^$A16),"")</f>
        <v>0</v>
      </c>
      <c r="H16" s="242">
        <f>IF($A16&lt;=$N$4,H$15*'General Data'!$S8,"")</f>
        <v>620100</v>
      </c>
      <c r="I16" s="243">
        <f>IF(A16&lt;&gt;"",IF(I$15="",VLOOKUP(A16,'DOE Fuel Esc Rates'!$T$9:$W$38,3,TRUE),I$15),"")</f>
        <v>2.7786548784338283E-2</v>
      </c>
      <c r="J16" s="243">
        <f>((1+I16)*(1+'General Data'!$M$25))-1</f>
        <v>2.8814335333122498E-2</v>
      </c>
      <c r="K16" s="244">
        <f>IF(H16&lt;&gt;"",H16*(1+I16)*K15,"")</f>
        <v>637330.43890116818</v>
      </c>
      <c r="L16" s="244">
        <f t="shared" ref="L16:L40" si="1">IF(H16&lt;&gt;"",H16/(1+disc)^$A16,"")</f>
        <v>602038.83495145629</v>
      </c>
      <c r="M16" s="241">
        <f t="shared" ref="M16:M40" si="2">IF(H16&lt;&gt;"",K16/(1+disc)^$A16,"")</f>
        <v>618767.4164089011</v>
      </c>
      <c r="N16" s="242">
        <f>IF($A16&lt;=$N$4,N$15*'General Data'!$S8,"")</f>
        <v>25620</v>
      </c>
      <c r="O16" s="243">
        <f>IF(A16&lt;&gt;"",IF(O$15="",VLOOKUP(A16,'DOE Fuel Esc Rates'!$T$9:$W$38,4,TRUE),O$15),"")</f>
        <v>1.2387387387387427E-2</v>
      </c>
      <c r="P16" s="243">
        <f>((1+O16)*(1+'General Data'!$M$25))-1</f>
        <v>1.339977477477472E-2</v>
      </c>
      <c r="Q16" s="244">
        <f>IF(N16&lt;&gt;"",N16*(1+O16)*Q15,"")</f>
        <v>25937.364864864867</v>
      </c>
      <c r="R16" s="244">
        <f t="shared" ref="R16:R40" si="3">IF(N16&lt;&gt;"",N16/(1+disc)^$A16,"")</f>
        <v>24873.786407766991</v>
      </c>
      <c r="S16" s="241">
        <f t="shared" ref="S16:S40" si="4">IF(N16&lt;&gt;"",Q16/((1+disc)^$A16),"")</f>
        <v>25181.907635791133</v>
      </c>
      <c r="T16" s="242">
        <f t="shared" ref="T16:T40" si="5">IF($A16&lt;=$N$4,T$15,"")</f>
        <v>0</v>
      </c>
      <c r="U16" s="245">
        <f t="shared" ref="U16:U40" si="6">IF(T16&lt;&gt;"",T16/(1+disc)^A16,"")</f>
        <v>0</v>
      </c>
      <c r="V16" s="246">
        <f>IF($A16&lt;=$N$4,VLOOKUP(A16,'DOE Fuel Esc Rates'!$T$9:$W$38,2,TRUE),"")</f>
        <v>2015</v>
      </c>
      <c r="W16" s="247">
        <f t="shared" ref="W16:W40" si="7">IF(A16&lt;&gt;"",SUM(C16,F16,K16,Q16,T16),"")</f>
        <v>663267.80376603303</v>
      </c>
      <c r="X16" s="241">
        <f t="shared" ref="X16:X40" si="8">IF(A16&lt;&gt;"",SUM(D16,G16,M16,S16,U16),"")</f>
        <v>643949.32404469221</v>
      </c>
      <c r="Y16" s="248">
        <f>IF(A16&lt;&gt;"",SUM(X$15:X16),"")</f>
        <v>1125989.3240446923</v>
      </c>
      <c r="Z16" s="249">
        <f>IF(A16&lt;&gt;"",LCC0!Y16-Y16,"")</f>
        <v>-391902.68474246154</v>
      </c>
      <c r="AA16" s="312" t="str">
        <f>IF(A16&lt;&gt;"",IF(Z16&gt;0,A15+(-Z15)/(Z16-Z15),""),"")</f>
        <v/>
      </c>
      <c r="AB16" s="198"/>
      <c r="AC16" s="251">
        <f t="shared" ref="AC16:AC40" si="9">SUM(K16,Q16)</f>
        <v>663267.80376603303</v>
      </c>
      <c r="AE16" s="198"/>
    </row>
    <row r="17" spans="1:31" x14ac:dyDescent="0.2">
      <c r="A17" s="176">
        <f>IF(ROW(A17)-ROW($A$15)+$H$4&lt;=$N$4,A16+1,"")</f>
        <v>2</v>
      </c>
      <c r="B17" s="56"/>
      <c r="C17" s="51">
        <v>0</v>
      </c>
      <c r="D17" s="252">
        <f t="shared" ref="D17:D40" si="10">IF($A17&lt;&gt;"",$C17/((1+$T$5)^$A17),"")</f>
        <v>0</v>
      </c>
      <c r="E17" s="56"/>
      <c r="F17" s="51">
        <v>0</v>
      </c>
      <c r="G17" s="241">
        <f t="shared" si="0"/>
        <v>0</v>
      </c>
      <c r="H17" s="242">
        <f>IF($A17&lt;=$N$4,H$15*'General Data'!$S9,"")</f>
        <v>620100</v>
      </c>
      <c r="I17" s="243">
        <f>IF(A17&lt;&gt;"",IF(I$15="",VLOOKUP(A17,'DOE Fuel Esc Rates'!$T$9:$W$38,3,TRUE),I$15),"")</f>
        <v>1.3824884792626779E-2</v>
      </c>
      <c r="J17" s="243">
        <f>((1+I17)*(1+'General Data'!$M$25))-1</f>
        <v>1.4838709677419404E-2</v>
      </c>
      <c r="K17" s="253">
        <f t="shared" ref="K17:K40" si="11">IF(H17&lt;&gt;"",K16*(1+I17),"")</f>
        <v>646141.45879381103</v>
      </c>
      <c r="L17" s="253">
        <f t="shared" si="1"/>
        <v>584503.72325384105</v>
      </c>
      <c r="M17" s="241">
        <f t="shared" si="2"/>
        <v>609050.29578076256</v>
      </c>
      <c r="N17" s="242">
        <f>IF($A17&lt;=$N$4,N$15*'General Data'!$S9,"")</f>
        <v>25620</v>
      </c>
      <c r="O17" s="243">
        <f>IF(A17&lt;&gt;"",IF(O$15="",VLOOKUP(A17,'DOE Fuel Esc Rates'!$T$9:$W$38,4,TRUE),O$15),"")</f>
        <v>1.1123470522802492E-3</v>
      </c>
      <c r="P17" s="243">
        <f>((1+O17)*(1+'General Data'!$M$25))-1</f>
        <v>2.1134593993323847E-3</v>
      </c>
      <c r="Q17" s="253">
        <f t="shared" ref="Q17:Q40" si="12">IF(N17&lt;&gt;"",Q16*(1+O17),"")</f>
        <v>25966.216216216217</v>
      </c>
      <c r="R17" s="253">
        <f t="shared" si="3"/>
        <v>24149.307192006789</v>
      </c>
      <c r="S17" s="241">
        <f t="shared" si="4"/>
        <v>24475.64918108796</v>
      </c>
      <c r="T17" s="242">
        <f t="shared" si="5"/>
        <v>0</v>
      </c>
      <c r="U17" s="245">
        <f t="shared" si="6"/>
        <v>0</v>
      </c>
      <c r="V17" s="246">
        <f>IF($A17&lt;=$N$4,VLOOKUP(A17,'DOE Fuel Esc Rates'!$T$9:$W$38,2,TRUE),"")</f>
        <v>2016</v>
      </c>
      <c r="W17" s="247">
        <f t="shared" si="7"/>
        <v>672107.67501002725</v>
      </c>
      <c r="X17" s="241">
        <f t="shared" si="8"/>
        <v>633525.94496185053</v>
      </c>
      <c r="Y17" s="248">
        <f>IF(A17&lt;&gt;"",SUM(X$15:X17),"")</f>
        <v>1759515.2690065429</v>
      </c>
      <c r="Z17" s="249">
        <f>IF(A17&lt;&gt;"",LCC0!Y17-Y17,"")</f>
        <v>-356624.51915053045</v>
      </c>
      <c r="AA17" s="312" t="str">
        <f>IF(A17&lt;&gt;"",IF(Z17&gt;0,IF(SUM(AA$16:AA16)=0,A16+(-Z16)/(Z17-Z16),""),""),"")</f>
        <v/>
      </c>
      <c r="AB17" s="198"/>
      <c r="AC17" s="251">
        <f t="shared" si="9"/>
        <v>672107.67501002725</v>
      </c>
      <c r="AE17" s="198"/>
    </row>
    <row r="18" spans="1:31" x14ac:dyDescent="0.2">
      <c r="A18" s="176">
        <f t="shared" ref="A18:A40" si="13">IF(ROW(A18)-ROW($A$15)+$H$4&lt;=$N$4,A17+1,"")</f>
        <v>3</v>
      </c>
      <c r="B18" s="56"/>
      <c r="C18" s="51">
        <v>0</v>
      </c>
      <c r="D18" s="252">
        <f t="shared" si="10"/>
        <v>0</v>
      </c>
      <c r="E18" s="56"/>
      <c r="F18" s="51">
        <v>0</v>
      </c>
      <c r="G18" s="241">
        <f t="shared" si="0"/>
        <v>0</v>
      </c>
      <c r="H18" s="242">
        <f>IF($A18&lt;=$N$4,H$15*'General Data'!$S10,"")</f>
        <v>620100</v>
      </c>
      <c r="I18" s="243">
        <f>IF(A18&lt;&gt;"",IF(I$15="",VLOOKUP(A18,'DOE Fuel Esc Rates'!$T$9:$W$38,3,TRUE),I$15),"")</f>
        <v>-1.0606060606060619E-2</v>
      </c>
      <c r="J18" s="243">
        <f>((1+I18)*(1+'General Data'!$M$25))-1</f>
        <v>-9.6166666666668288E-3</v>
      </c>
      <c r="K18" s="253">
        <f t="shared" si="11"/>
        <v>639288.44332175551</v>
      </c>
      <c r="L18" s="253">
        <f t="shared" si="1"/>
        <v>567479.34296489425</v>
      </c>
      <c r="M18" s="241">
        <f t="shared" si="2"/>
        <v>585039.48682676966</v>
      </c>
      <c r="N18" s="242">
        <f>IF($A18&lt;=$N$4,N$15*'General Data'!$S10,"")</f>
        <v>25620</v>
      </c>
      <c r="O18" s="243">
        <f>IF(A18&lt;&gt;"",IF(O$15="",VLOOKUP(A18,'DOE Fuel Esc Rates'!$T$9:$W$38,4,TRUE),O$15),"")</f>
        <v>-1.1111111111110628E-3</v>
      </c>
      <c r="P18" s="243">
        <f>((1+O18)*(1+'General Data'!$M$25))-1</f>
        <v>-1.1222222222229128E-4</v>
      </c>
      <c r="Q18" s="253">
        <f t="shared" si="12"/>
        <v>25937.364864864867</v>
      </c>
      <c r="R18" s="253">
        <f t="shared" si="3"/>
        <v>23445.929312627948</v>
      </c>
      <c r="S18" s="241">
        <f t="shared" si="4"/>
        <v>23736.363121680773</v>
      </c>
      <c r="T18" s="242">
        <f t="shared" si="5"/>
        <v>0</v>
      </c>
      <c r="U18" s="245">
        <f t="shared" si="6"/>
        <v>0</v>
      </c>
      <c r="V18" s="246">
        <f>IF($A18&lt;=$N$4,VLOOKUP(A18,'DOE Fuel Esc Rates'!$T$9:$W$38,2,TRUE),"")</f>
        <v>2017</v>
      </c>
      <c r="W18" s="247">
        <f t="shared" si="7"/>
        <v>665225.80818662036</v>
      </c>
      <c r="X18" s="241">
        <f t="shared" si="8"/>
        <v>608775.84994845046</v>
      </c>
      <c r="Y18" s="248">
        <f>IF(A18&lt;&gt;"",SUM(X$15:X18),"")</f>
        <v>2368291.1189549933</v>
      </c>
      <c r="Z18" s="249">
        <f>IF(A18&lt;&gt;"",LCC0!Y18-Y18,"")</f>
        <v>-322739.77936796122</v>
      </c>
      <c r="AA18" s="312" t="str">
        <f>IF(A18&lt;&gt;"",IF(Z18&gt;0,IF(SUM(AA$16:AA17)=0,A17+(-Z17)/(Z18-Z17),""),""),"")</f>
        <v/>
      </c>
      <c r="AB18" s="198"/>
      <c r="AC18" s="251">
        <f t="shared" si="9"/>
        <v>665225.80818662036</v>
      </c>
      <c r="AE18" s="198"/>
    </row>
    <row r="19" spans="1:31" x14ac:dyDescent="0.2">
      <c r="A19" s="176">
        <f t="shared" si="13"/>
        <v>4</v>
      </c>
      <c r="B19" s="56"/>
      <c r="C19" s="51">
        <v>0</v>
      </c>
      <c r="D19" s="252">
        <f t="shared" si="10"/>
        <v>0</v>
      </c>
      <c r="E19" s="56"/>
      <c r="F19" s="51">
        <v>0</v>
      </c>
      <c r="G19" s="241">
        <f t="shared" si="0"/>
        <v>0</v>
      </c>
      <c r="H19" s="242">
        <f>IF($A19&lt;=$N$4,H$15*'General Data'!$S11,"")</f>
        <v>620100</v>
      </c>
      <c r="I19" s="243">
        <f>IF(A19&lt;&gt;"",IF(I$15="",VLOOKUP(A19,'DOE Fuel Esc Rates'!$T$9:$W$38,3,TRUE),I$15),"")</f>
        <v>-7.9632465543644226E-3</v>
      </c>
      <c r="J19" s="243">
        <f>((1+I19)*(1+'General Data'!$M$25))-1</f>
        <v>-6.9712098009189205E-3</v>
      </c>
      <c r="K19" s="253">
        <f t="shared" si="11"/>
        <v>634197.63182822859</v>
      </c>
      <c r="L19" s="253">
        <f t="shared" si="1"/>
        <v>550950.81841251871</v>
      </c>
      <c r="M19" s="241">
        <f t="shared" si="2"/>
        <v>563476.38169818383</v>
      </c>
      <c r="N19" s="242">
        <f>IF($A19&lt;=$N$4,N$15*'General Data'!$S11,"")</f>
        <v>25620</v>
      </c>
      <c r="O19" s="243">
        <f>IF(A19&lt;&gt;"",IF(O$15="",VLOOKUP(A19,'DOE Fuel Esc Rates'!$T$9:$W$38,4,TRUE),O$15),"")</f>
        <v>3.6707452725250223E-2</v>
      </c>
      <c r="P19" s="243">
        <f>((1+O19)*(1+'General Data'!$M$25))-1</f>
        <v>3.7744160177975328E-2</v>
      </c>
      <c r="Q19" s="253">
        <f t="shared" si="12"/>
        <v>26889.45945945946</v>
      </c>
      <c r="R19" s="253">
        <f t="shared" si="3"/>
        <v>22763.038167599952</v>
      </c>
      <c r="S19" s="241">
        <f t="shared" si="4"/>
        <v>23890.936455183732</v>
      </c>
      <c r="T19" s="242">
        <f t="shared" si="5"/>
        <v>0</v>
      </c>
      <c r="U19" s="245">
        <f t="shared" si="6"/>
        <v>0</v>
      </c>
      <c r="V19" s="246">
        <f>IF($A19&lt;=$N$4,VLOOKUP(A19,'DOE Fuel Esc Rates'!$T$9:$W$38,2,TRUE),"")</f>
        <v>2018</v>
      </c>
      <c r="W19" s="247">
        <f t="shared" si="7"/>
        <v>661087.091287688</v>
      </c>
      <c r="X19" s="241">
        <f t="shared" si="8"/>
        <v>587367.31815336761</v>
      </c>
      <c r="Y19" s="248">
        <f>IF(A19&lt;&gt;"",SUM(X$15:X19),"")</f>
        <v>2955658.4371083612</v>
      </c>
      <c r="Z19" s="249">
        <f>IF(A19&lt;&gt;"",LCC0!Y19-Y19,"")</f>
        <v>-290116.0013864995</v>
      </c>
      <c r="AA19" s="312" t="str">
        <f>IF(A19&lt;&gt;"",IF(Z19&gt;0,IF(SUM(AA$16:AA18)=0,A18+(-Z18)/(Z19-Z18),""),""),"")</f>
        <v/>
      </c>
      <c r="AB19" s="198"/>
      <c r="AC19" s="251">
        <f t="shared" si="9"/>
        <v>661087.091287688</v>
      </c>
      <c r="AE19" s="198"/>
    </row>
    <row r="20" spans="1:31" x14ac:dyDescent="0.2">
      <c r="A20" s="176">
        <f t="shared" si="13"/>
        <v>5</v>
      </c>
      <c r="B20" s="56"/>
      <c r="C20" s="51">
        <v>0</v>
      </c>
      <c r="D20" s="252">
        <f t="shared" si="10"/>
        <v>0</v>
      </c>
      <c r="E20" s="56"/>
      <c r="F20" s="51">
        <v>0</v>
      </c>
      <c r="G20" s="241">
        <f t="shared" si="0"/>
        <v>0</v>
      </c>
      <c r="H20" s="242">
        <f>IF($A20&lt;=$N$4,H$15*'General Data'!$S12,"")</f>
        <v>620100</v>
      </c>
      <c r="I20" s="243">
        <f>IF(A20&lt;&gt;"",IF(I$15="",VLOOKUP(A20,'DOE Fuel Esc Rates'!$T$9:$W$38,3,TRUE),I$15),"")</f>
        <v>6.1747452917559897E-4</v>
      </c>
      <c r="J20" s="243">
        <f>((1+I20)*(1+'General Data'!$M$25))-1</f>
        <v>1.6180920037047741E-3</v>
      </c>
      <c r="K20" s="253">
        <f t="shared" si="11"/>
        <v>634589.23271234601</v>
      </c>
      <c r="L20" s="253">
        <f t="shared" si="1"/>
        <v>534903.70719662018</v>
      </c>
      <c r="M20" s="241">
        <f t="shared" si="2"/>
        <v>547402.24661327619</v>
      </c>
      <c r="N20" s="242">
        <f>IF($A20&lt;=$N$4,N$15*'General Data'!$S12,"")</f>
        <v>25620</v>
      </c>
      <c r="O20" s="243">
        <f>IF(A20&lt;&gt;"",IF(O$15="",VLOOKUP(A20,'DOE Fuel Esc Rates'!$T$9:$W$38,4,TRUE),O$15),"")</f>
        <v>4.7210300429184393E-2</v>
      </c>
      <c r="P20" s="243">
        <f>((1+O20)*(1+'General Data'!$M$25))-1</f>
        <v>4.8257510729613484E-2</v>
      </c>
      <c r="Q20" s="253">
        <f t="shared" si="12"/>
        <v>28158.918918918916</v>
      </c>
      <c r="R20" s="253">
        <f t="shared" si="3"/>
        <v>22100.037055922283</v>
      </c>
      <c r="S20" s="241">
        <f t="shared" si="4"/>
        <v>24290.130818220889</v>
      </c>
      <c r="T20" s="242">
        <f t="shared" si="5"/>
        <v>0</v>
      </c>
      <c r="U20" s="245">
        <f t="shared" si="6"/>
        <v>0</v>
      </c>
      <c r="V20" s="246">
        <f>IF($A20&lt;=$N$4,VLOOKUP(A20,'DOE Fuel Esc Rates'!$T$9:$W$38,2,TRUE),"")</f>
        <v>2019</v>
      </c>
      <c r="W20" s="247">
        <f t="shared" si="7"/>
        <v>662748.15163126495</v>
      </c>
      <c r="X20" s="241">
        <f t="shared" si="8"/>
        <v>571692.37743149709</v>
      </c>
      <c r="Y20" s="248">
        <f>IF(A20&lt;&gt;"",SUM(X$15:X20),"")</f>
        <v>3527350.8145398581</v>
      </c>
      <c r="Z20" s="249">
        <f>IF(A20&lt;&gt;"",LCC0!Y20-Y20,"")</f>
        <v>-258435.52776117856</v>
      </c>
      <c r="AA20" s="312" t="str">
        <f>IF(A20&lt;&gt;"",IF(Z20&gt;0,IF(SUM(AA$16:AA19)=0,A19+(-Z19)/(Z20-Z19),""),""),"")</f>
        <v/>
      </c>
      <c r="AB20" s="198"/>
      <c r="AC20" s="251">
        <f t="shared" si="9"/>
        <v>662748.15163126495</v>
      </c>
      <c r="AE20" s="198"/>
    </row>
    <row r="21" spans="1:31" x14ac:dyDescent="0.2">
      <c r="A21" s="176">
        <f t="shared" si="13"/>
        <v>6</v>
      </c>
      <c r="B21" s="56"/>
      <c r="C21" s="51">
        <v>0</v>
      </c>
      <c r="D21" s="252">
        <f t="shared" si="10"/>
        <v>0</v>
      </c>
      <c r="E21" s="56"/>
      <c r="F21" s="51">
        <v>0</v>
      </c>
      <c r="G21" s="241">
        <f t="shared" si="0"/>
        <v>0</v>
      </c>
      <c r="H21" s="242">
        <f>IF($A21&lt;=$N$4,H$15*'General Data'!$S13,"")</f>
        <v>620100</v>
      </c>
      <c r="I21" s="243">
        <f>IF(A21&lt;&gt;"",IF(I$15="",VLOOKUP(A21,'DOE Fuel Esc Rates'!$T$9:$W$38,3,TRUE),I$15),"")</f>
        <v>3.7025609379821578E-3</v>
      </c>
      <c r="J21" s="243">
        <f>((1+I21)*(1+'General Data'!$M$25))-1</f>
        <v>4.7062634989201158E-3</v>
      </c>
      <c r="K21" s="253">
        <f t="shared" si="11"/>
        <v>636938.83801705076</v>
      </c>
      <c r="L21" s="253">
        <f t="shared" si="1"/>
        <v>519323.9875695341</v>
      </c>
      <c r="M21" s="241">
        <f t="shared" si="2"/>
        <v>533426.24930966028</v>
      </c>
      <c r="N21" s="242">
        <f>IF($A21&lt;=$N$4,N$15*'General Data'!$S13,"")</f>
        <v>25620</v>
      </c>
      <c r="O21" s="243">
        <f>IF(A21&lt;&gt;"",IF(O$15="",VLOOKUP(A21,'DOE Fuel Esc Rates'!$T$9:$W$38,4,TRUE),O$15),"")</f>
        <v>3.5860655737704805E-2</v>
      </c>
      <c r="P21" s="243">
        <f>((1+O21)*(1+'General Data'!$M$25))-1</f>
        <v>3.6896516393442491E-2</v>
      </c>
      <c r="Q21" s="253">
        <f t="shared" si="12"/>
        <v>29168.716216216209</v>
      </c>
      <c r="R21" s="253">
        <f t="shared" si="3"/>
        <v>21456.346656235226</v>
      </c>
      <c r="S21" s="241">
        <f t="shared" si="4"/>
        <v>24428.34061875429</v>
      </c>
      <c r="T21" s="242">
        <f t="shared" si="5"/>
        <v>0</v>
      </c>
      <c r="U21" s="245">
        <f t="shared" si="6"/>
        <v>0</v>
      </c>
      <c r="V21" s="246">
        <f>IF($A21&lt;=$N$4,VLOOKUP(A21,'DOE Fuel Esc Rates'!$T$9:$W$38,2,TRUE),"")</f>
        <v>2020</v>
      </c>
      <c r="W21" s="247">
        <f t="shared" si="7"/>
        <v>666107.55423326697</v>
      </c>
      <c r="X21" s="241">
        <f t="shared" si="8"/>
        <v>557854.58992841456</v>
      </c>
      <c r="Y21" s="248">
        <f>IF(A21&lt;&gt;"",SUM(X$15:X21),"")</f>
        <v>4085205.4044682728</v>
      </c>
      <c r="Z21" s="249">
        <f>IF(A21&lt;&gt;"",LCC0!Y21-Y21,"")</f>
        <v>-227572.78421307169</v>
      </c>
      <c r="AA21" s="312" t="str">
        <f>IF(A21&lt;&gt;"",IF(Z21&gt;0,IF(SUM(AA$16:AA20)=0,A20+(-Z20)/(Z21-Z20),""),""),"")</f>
        <v/>
      </c>
      <c r="AB21" s="198"/>
      <c r="AC21" s="251">
        <f t="shared" si="9"/>
        <v>666107.55423326697</v>
      </c>
      <c r="AE21" s="198"/>
    </row>
    <row r="22" spans="1:31" x14ac:dyDescent="0.2">
      <c r="A22" s="176">
        <f t="shared" si="13"/>
        <v>7</v>
      </c>
      <c r="B22" s="56"/>
      <c r="C22" s="51">
        <v>0</v>
      </c>
      <c r="D22" s="252">
        <f t="shared" si="10"/>
        <v>0</v>
      </c>
      <c r="E22" s="56"/>
      <c r="F22" s="51">
        <v>0</v>
      </c>
      <c r="G22" s="241">
        <f t="shared" si="0"/>
        <v>0</v>
      </c>
      <c r="H22" s="242">
        <f>IF($A22&lt;=$N$4,H$15*'General Data'!$S14,"")</f>
        <v>620100</v>
      </c>
      <c r="I22" s="243">
        <f>IF(A22&lt;&gt;"",IF(I$15="",VLOOKUP(A22,'DOE Fuel Esc Rates'!$T$9:$W$38,3,TRUE),I$15),"")</f>
        <v>1.8444512757456177E-3</v>
      </c>
      <c r="J22" s="243">
        <f>((1+I22)*(1+'General Data'!$M$25))-1</f>
        <v>2.8462957270212197E-3</v>
      </c>
      <c r="K22" s="253">
        <f t="shared" si="11"/>
        <v>638113.64066940325</v>
      </c>
      <c r="L22" s="253">
        <f t="shared" si="1"/>
        <v>504198.04618401366</v>
      </c>
      <c r="M22" s="241">
        <f t="shared" si="2"/>
        <v>518844.78450069483</v>
      </c>
      <c r="N22" s="242">
        <f>IF($A22&lt;=$N$4,N$15*'General Data'!$S14,"")</f>
        <v>25620</v>
      </c>
      <c r="O22" s="243">
        <f>IF(A22&lt;&gt;"",IF(O$15="",VLOOKUP(A22,'DOE Fuel Esc Rates'!$T$9:$W$38,4,TRUE),O$15),"")</f>
        <v>2.0771513353115889E-2</v>
      </c>
      <c r="P22" s="243">
        <f>((1+O22)*(1+'General Data'!$M$25))-1</f>
        <v>2.1792284866468892E-2</v>
      </c>
      <c r="Q22" s="253">
        <f t="shared" si="12"/>
        <v>29774.594594594593</v>
      </c>
      <c r="R22" s="253">
        <f t="shared" si="3"/>
        <v>20831.404520616725</v>
      </c>
      <c r="S22" s="241">
        <f t="shared" si="4"/>
        <v>24209.470118554567</v>
      </c>
      <c r="T22" s="242">
        <f t="shared" si="5"/>
        <v>0</v>
      </c>
      <c r="U22" s="245">
        <f t="shared" si="6"/>
        <v>0</v>
      </c>
      <c r="V22" s="246">
        <f>IF($A22&lt;=$N$4,VLOOKUP(A22,'DOE Fuel Esc Rates'!$T$9:$W$38,2,TRUE),"")</f>
        <v>2021</v>
      </c>
      <c r="W22" s="247">
        <f t="shared" si="7"/>
        <v>667888.23526399781</v>
      </c>
      <c r="X22" s="241">
        <f t="shared" si="8"/>
        <v>543054.25461924938</v>
      </c>
      <c r="Y22" s="248">
        <f>IF(A22&lt;&gt;"",SUM(X$15:X22),"")</f>
        <v>4628259.659087522</v>
      </c>
      <c r="Z22" s="249">
        <f>IF(A22&lt;&gt;"",LCC0!Y22-Y22,"")</f>
        <v>-197558.94502694532</v>
      </c>
      <c r="AA22" s="312" t="str">
        <f>IF(A22&lt;&gt;"",IF(Z22&gt;0,IF(SUM(AA$16:AA21)=0,A21+(-Z21)/(Z22-Z21),""),""),"")</f>
        <v/>
      </c>
      <c r="AB22" s="198"/>
      <c r="AC22" s="251">
        <f t="shared" si="9"/>
        <v>667888.23526399781</v>
      </c>
      <c r="AE22" s="198"/>
    </row>
    <row r="23" spans="1:31" x14ac:dyDescent="0.2">
      <c r="A23" s="176">
        <f t="shared" si="13"/>
        <v>8</v>
      </c>
      <c r="B23" s="56"/>
      <c r="C23" s="51">
        <v>0</v>
      </c>
      <c r="D23" s="252">
        <f t="shared" si="10"/>
        <v>0</v>
      </c>
      <c r="E23" s="56" t="s">
        <v>50</v>
      </c>
      <c r="F23" s="51">
        <v>0</v>
      </c>
      <c r="G23" s="241">
        <f t="shared" si="0"/>
        <v>0</v>
      </c>
      <c r="H23" s="242">
        <f>IF($A23&lt;=$N$4,H$15*'General Data'!$S15,"")</f>
        <v>620100</v>
      </c>
      <c r="I23" s="243">
        <f>IF(A23&lt;&gt;"",IF(I$15="",VLOOKUP(A23,'DOE Fuel Esc Rates'!$T$9:$W$38,3,TRUE),I$15),"")</f>
        <v>-2.1478981282602172E-3</v>
      </c>
      <c r="J23" s="243">
        <f>((1+I23)*(1+'General Data'!$M$25))-1</f>
        <v>-1.1500460263885737E-3</v>
      </c>
      <c r="K23" s="253">
        <f t="shared" si="11"/>
        <v>636743.03757499217</v>
      </c>
      <c r="L23" s="253">
        <f t="shared" si="1"/>
        <v>489512.66619807156</v>
      </c>
      <c r="M23" s="241">
        <f t="shared" si="2"/>
        <v>502650.83374680422</v>
      </c>
      <c r="N23" s="242">
        <f>IF($A23&lt;=$N$4,N$15*'General Data'!$S15,"")</f>
        <v>25620</v>
      </c>
      <c r="O23" s="243">
        <f>IF(A23&lt;&gt;"",IF(O$15="",VLOOKUP(A23,'DOE Fuel Esc Rates'!$T$9:$W$38,4,TRUE),O$15),"")</f>
        <v>1.744186046511631E-2</v>
      </c>
      <c r="P23" s="243">
        <f>((1+O23)*(1+'General Data'!$M$25))-1</f>
        <v>1.8459302325581239E-2</v>
      </c>
      <c r="Q23" s="253">
        <f t="shared" si="12"/>
        <v>30293.91891891892</v>
      </c>
      <c r="R23" s="253">
        <f t="shared" si="3"/>
        <v>20224.664583123034</v>
      </c>
      <c r="S23" s="241">
        <f t="shared" si="4"/>
        <v>23914.299338152239</v>
      </c>
      <c r="T23" s="242">
        <f t="shared" si="5"/>
        <v>0</v>
      </c>
      <c r="U23" s="245">
        <f t="shared" si="6"/>
        <v>0</v>
      </c>
      <c r="V23" s="246">
        <f>IF($A23&lt;=$N$4,VLOOKUP(A23,'DOE Fuel Esc Rates'!$T$9:$W$38,2,TRUE),"")</f>
        <v>2022</v>
      </c>
      <c r="W23" s="247">
        <f t="shared" si="7"/>
        <v>667036.9564939111</v>
      </c>
      <c r="X23" s="241">
        <f t="shared" si="8"/>
        <v>526565.13308495644</v>
      </c>
      <c r="Y23" s="248">
        <f>IF(A23&lt;&gt;"",SUM(X$15:X23),"")</f>
        <v>5154824.7921724785</v>
      </c>
      <c r="Z23" s="249">
        <f>IF(A23&lt;&gt;"",LCC0!Y23-Y23,"")</f>
        <v>-168487.27595068049</v>
      </c>
      <c r="AA23" s="312" t="str">
        <f>IF(A23&lt;&gt;"",IF(Z23&gt;0,IF(SUM(AA$16:AA22)=0,A22+(-Z22)/(Z23-Z22),""),""),"")</f>
        <v/>
      </c>
      <c r="AB23" s="198"/>
      <c r="AC23" s="251">
        <f t="shared" si="9"/>
        <v>667036.9564939111</v>
      </c>
      <c r="AE23" s="198"/>
    </row>
    <row r="24" spans="1:31" x14ac:dyDescent="0.2">
      <c r="A24" s="176">
        <f t="shared" si="13"/>
        <v>9</v>
      </c>
      <c r="B24" s="56"/>
      <c r="C24" s="51">
        <v>0</v>
      </c>
      <c r="D24" s="252">
        <f t="shared" si="10"/>
        <v>0</v>
      </c>
      <c r="E24" s="56"/>
      <c r="F24" s="51">
        <v>0</v>
      </c>
      <c r="G24" s="241">
        <f t="shared" si="0"/>
        <v>0</v>
      </c>
      <c r="H24" s="242">
        <f>IF($A24&lt;=$N$4,H$15*'General Data'!$S16,"")</f>
        <v>620100</v>
      </c>
      <c r="I24" s="243">
        <f>IF(A24&lt;&gt;"",IF(I$15="",VLOOKUP(A24,'DOE Fuel Esc Rates'!$T$9:$W$38,3,TRUE),I$15),"")</f>
        <v>-2.4600246002461912E-3</v>
      </c>
      <c r="J24" s="243">
        <f>((1+I24)*(1+'General Data'!$M$25))-1</f>
        <v>-1.4624846248465495E-3</v>
      </c>
      <c r="K24" s="253">
        <f t="shared" si="11"/>
        <v>635176.63403852226</v>
      </c>
      <c r="L24" s="253">
        <f t="shared" si="1"/>
        <v>475255.01572628308</v>
      </c>
      <c r="M24" s="241">
        <f t="shared" si="2"/>
        <v>486810.000320828</v>
      </c>
      <c r="N24" s="242">
        <f>IF($A24&lt;=$N$4,N$15*'General Data'!$S16,"")</f>
        <v>25620</v>
      </c>
      <c r="O24" s="243">
        <f>IF(A24&lt;&gt;"",IF(O$15="",VLOOKUP(A24,'DOE Fuel Esc Rates'!$T$9:$W$38,4,TRUE),O$15),"")</f>
        <v>1.0476190476190528E-2</v>
      </c>
      <c r="P24" s="243">
        <f>((1+O24)*(1+'General Data'!$M$25))-1</f>
        <v>1.1486666666666645E-2</v>
      </c>
      <c r="Q24" s="253">
        <f t="shared" si="12"/>
        <v>30611.283783783787</v>
      </c>
      <c r="R24" s="253">
        <f t="shared" si="3"/>
        <v>19635.596682643722</v>
      </c>
      <c r="S24" s="241">
        <f t="shared" si="4"/>
        <v>23461.000090411027</v>
      </c>
      <c r="T24" s="242">
        <f t="shared" si="5"/>
        <v>0</v>
      </c>
      <c r="U24" s="245">
        <f t="shared" si="6"/>
        <v>0</v>
      </c>
      <c r="V24" s="246">
        <f>IF($A24&lt;=$N$4,VLOOKUP(A24,'DOE Fuel Esc Rates'!$T$9:$W$38,2,TRUE),"")</f>
        <v>2023</v>
      </c>
      <c r="W24" s="247">
        <f t="shared" si="7"/>
        <v>665787.91782230604</v>
      </c>
      <c r="X24" s="241">
        <f t="shared" si="8"/>
        <v>510271.00041123905</v>
      </c>
      <c r="Y24" s="248">
        <f>IF(A24&lt;&gt;"",SUM(X$15:X24),"")</f>
        <v>5665095.792583718</v>
      </c>
      <c r="Z24" s="249">
        <f>IF(A24&lt;&gt;"",LCC0!Y24-Y24,"")</f>
        <v>-140335.30549762584</v>
      </c>
      <c r="AA24" s="312" t="str">
        <f>IF(A24&lt;&gt;"",IF(Z24&gt;0,IF(SUM(AA$16:AA23)=0,A23+(-Z23)/(Z24-Z23),""),""),"")</f>
        <v/>
      </c>
      <c r="AB24" s="198"/>
      <c r="AC24" s="251">
        <f t="shared" si="9"/>
        <v>665787.91782230604</v>
      </c>
      <c r="AE24" s="198"/>
    </row>
    <row r="25" spans="1:31" x14ac:dyDescent="0.2">
      <c r="A25" s="176">
        <f t="shared" si="13"/>
        <v>10</v>
      </c>
      <c r="B25" s="56"/>
      <c r="C25" s="51">
        <v>0</v>
      </c>
      <c r="D25" s="252">
        <f t="shared" si="10"/>
        <v>0</v>
      </c>
      <c r="E25" s="56"/>
      <c r="F25" s="51">
        <v>0</v>
      </c>
      <c r="G25" s="241">
        <f t="shared" si="0"/>
        <v>0</v>
      </c>
      <c r="H25" s="242">
        <f>IF($A25&lt;=$N$4,H$15*'General Data'!$S17,"")</f>
        <v>620100</v>
      </c>
      <c r="I25" s="243">
        <f>IF(A25&lt;&gt;"",IF(I$15="",VLOOKUP(A25,'DOE Fuel Esc Rates'!$T$9:$W$38,3,TRUE),I$15),"")</f>
        <v>2.1578298397040285E-3</v>
      </c>
      <c r="J25" s="243">
        <f>((1+I25)*(1+'General Data'!$M$25))-1</f>
        <v>3.159987669543618E-3</v>
      </c>
      <c r="K25" s="253">
        <f t="shared" si="11"/>
        <v>636547.23713293334</v>
      </c>
      <c r="L25" s="253">
        <f t="shared" si="1"/>
        <v>461412.63662745932</v>
      </c>
      <c r="M25" s="241">
        <f t="shared" si="2"/>
        <v>473650.92569493846</v>
      </c>
      <c r="N25" s="242">
        <f>IF($A25&lt;=$N$4,N$15*'General Data'!$S17,"")</f>
        <v>25620</v>
      </c>
      <c r="O25" s="243">
        <f>IF(A25&lt;&gt;"",IF(O$15="",VLOOKUP(A25,'DOE Fuel Esc Rates'!$T$9:$W$38,4,TRUE),O$15),"")</f>
        <v>1.6965127238454336E-2</v>
      </c>
      <c r="P25" s="243">
        <f>((1+O25)*(1+'General Data'!$M$25))-1</f>
        <v>1.7982092365692592E-2</v>
      </c>
      <c r="Q25" s="253">
        <f t="shared" si="12"/>
        <v>31130.608108108114</v>
      </c>
      <c r="R25" s="253">
        <f t="shared" si="3"/>
        <v>19063.6860996541</v>
      </c>
      <c r="S25" s="241">
        <f t="shared" si="4"/>
        <v>23164.096060277901</v>
      </c>
      <c r="T25" s="242">
        <f t="shared" si="5"/>
        <v>0</v>
      </c>
      <c r="U25" s="245">
        <f t="shared" si="6"/>
        <v>0</v>
      </c>
      <c r="V25" s="246">
        <f>IF($A25&lt;=$N$4,VLOOKUP(A25,'DOE Fuel Esc Rates'!$T$9:$W$38,2,TRUE),"")</f>
        <v>2024</v>
      </c>
      <c r="W25" s="247">
        <f t="shared" si="7"/>
        <v>667677.8452410415</v>
      </c>
      <c r="X25" s="241">
        <f t="shared" si="8"/>
        <v>496815.02175521635</v>
      </c>
      <c r="Y25" s="248">
        <f>IF(A25&lt;&gt;"",SUM(X$15:X25),"")</f>
        <v>6161910.8143389346</v>
      </c>
      <c r="Z25" s="249">
        <f>IF(A25&lt;&gt;"",LCC0!Y25-Y25,"")</f>
        <v>-112948.26688651275</v>
      </c>
      <c r="AA25" s="312" t="str">
        <f>IF(A25&lt;&gt;"",IF(Z25&gt;0,IF(SUM(AA$16:AA24)=0,A24+(-Z24)/(Z25-Z24),""),""),"")</f>
        <v/>
      </c>
      <c r="AB25" s="198"/>
      <c r="AC25" s="251">
        <f t="shared" si="9"/>
        <v>667677.8452410415</v>
      </c>
      <c r="AE25" s="198"/>
    </row>
    <row r="26" spans="1:31" x14ac:dyDescent="0.2">
      <c r="A26" s="176">
        <f t="shared" si="13"/>
        <v>11</v>
      </c>
      <c r="B26" s="56"/>
      <c r="C26" s="51">
        <v>0</v>
      </c>
      <c r="D26" s="252">
        <f t="shared" si="10"/>
        <v>0</v>
      </c>
      <c r="E26" s="56"/>
      <c r="F26" s="51">
        <v>0</v>
      </c>
      <c r="G26" s="241">
        <f t="shared" si="0"/>
        <v>0</v>
      </c>
      <c r="H26" s="242">
        <f>IF($A26&lt;=$N$4,H$15*'General Data'!$S18,"")</f>
        <v>620100</v>
      </c>
      <c r="I26" s="243">
        <f>IF(A26&lt;&gt;"",IF(I$15="",VLOOKUP(A26,'DOE Fuel Esc Rates'!$T$9:$W$38,3,TRUE),I$15),"")</f>
        <v>3.9987696093510827E-3</v>
      </c>
      <c r="J26" s="243">
        <f>((1+I26)*(1+'General Data'!$M$25))-1</f>
        <v>5.0027683789604094E-3</v>
      </c>
      <c r="K26" s="253">
        <f t="shared" si="11"/>
        <v>639092.64287969691</v>
      </c>
      <c r="L26" s="253">
        <f t="shared" si="1"/>
        <v>447973.43361889251</v>
      </c>
      <c r="M26" s="241">
        <f t="shared" si="2"/>
        <v>461694.12293402752</v>
      </c>
      <c r="N26" s="242">
        <f>IF($A26&lt;=$N$4,N$15*'General Data'!$S18,"")</f>
        <v>25620</v>
      </c>
      <c r="O26" s="243">
        <f>IF(A26&lt;&gt;"",IF(O$15="",VLOOKUP(A26,'DOE Fuel Esc Rates'!$T$9:$W$38,4,TRUE),O$15),"")</f>
        <v>2.1316033364226161E-2</v>
      </c>
      <c r="P26" s="243">
        <f>((1+O26)*(1+'General Data'!$M$25))-1</f>
        <v>2.2337349397590245E-2</v>
      </c>
      <c r="Q26" s="253">
        <f t="shared" si="12"/>
        <v>31794.189189189197</v>
      </c>
      <c r="R26" s="253">
        <f t="shared" si="3"/>
        <v>18508.433106460288</v>
      </c>
      <c r="S26" s="241">
        <f t="shared" si="4"/>
        <v>22968.798742476629</v>
      </c>
      <c r="T26" s="242">
        <f t="shared" si="5"/>
        <v>0</v>
      </c>
      <c r="U26" s="245">
        <f t="shared" si="6"/>
        <v>0</v>
      </c>
      <c r="V26" s="246">
        <f>IF($A26&lt;=$N$4,VLOOKUP(A26,'DOE Fuel Esc Rates'!$T$9:$W$38,2,TRUE),"")</f>
        <v>2025</v>
      </c>
      <c r="W26" s="247">
        <f t="shared" si="7"/>
        <v>670886.83206888614</v>
      </c>
      <c r="X26" s="241">
        <f t="shared" si="8"/>
        <v>484662.92167650413</v>
      </c>
      <c r="Y26" s="248">
        <f>IF(A26&lt;&gt;"",SUM(X$15:X26),"")</f>
        <v>6646573.736015439</v>
      </c>
      <c r="Z26" s="249">
        <f>IF(A26&lt;&gt;"",LCC0!Y26-Y26,"")</f>
        <v>-86257.144659704529</v>
      </c>
      <c r="AA26" s="312" t="str">
        <f>IF(A26&lt;&gt;"",IF(Z26&gt;0,IF(SUM(AA$16:AA25)=0,A25+(-Z25)/(Z26-Z25),""),""),"")</f>
        <v/>
      </c>
      <c r="AB26" s="198"/>
      <c r="AC26" s="251">
        <f t="shared" si="9"/>
        <v>670886.83206888614</v>
      </c>
      <c r="AE26" s="198"/>
    </row>
    <row r="27" spans="1:31" x14ac:dyDescent="0.2">
      <c r="A27" s="176">
        <f t="shared" si="13"/>
        <v>12</v>
      </c>
      <c r="B27" s="56"/>
      <c r="C27" s="51">
        <v>0</v>
      </c>
      <c r="D27" s="252">
        <f t="shared" si="10"/>
        <v>0</v>
      </c>
      <c r="E27" s="56"/>
      <c r="F27" s="51">
        <v>0</v>
      </c>
      <c r="G27" s="241">
        <f t="shared" si="0"/>
        <v>0</v>
      </c>
      <c r="H27" s="242">
        <f>IF($A27&lt;=$N$4,H$15*'General Data'!$S19,"")</f>
        <v>620100</v>
      </c>
      <c r="I27" s="243">
        <f>IF(A27&lt;&gt;"",IF(I$15="",VLOOKUP(A27,'DOE Fuel Esc Rates'!$T$9:$W$38,3,TRUE),I$15),"")</f>
        <v>1.5318627450979783E-3</v>
      </c>
      <c r="J27" s="243">
        <f>((1+I27)*(1+'General Data'!$M$25))-1</f>
        <v>2.5333946078429648E-3</v>
      </c>
      <c r="K27" s="253">
        <f t="shared" si="11"/>
        <v>640071.64508999058</v>
      </c>
      <c r="L27" s="253">
        <f t="shared" si="1"/>
        <v>434925.66370766266</v>
      </c>
      <c r="M27" s="241">
        <f t="shared" si="2"/>
        <v>448933.37374813686</v>
      </c>
      <c r="N27" s="242">
        <f>IF($A27&lt;=$N$4,N$15*'General Data'!$S19,"")</f>
        <v>25620</v>
      </c>
      <c r="O27" s="243">
        <f>IF(A27&lt;&gt;"",IF(O$15="",VLOOKUP(A27,'DOE Fuel Esc Rates'!$T$9:$W$38,4,TRUE),O$15),"")</f>
        <v>5.4446460980037692E-3</v>
      </c>
      <c r="P27" s="243">
        <f>((1+O27)*(1+'General Data'!$M$25))-1</f>
        <v>6.4500907441016331E-3</v>
      </c>
      <c r="Q27" s="253">
        <f t="shared" si="12"/>
        <v>31967.297297297311</v>
      </c>
      <c r="R27" s="253">
        <f t="shared" si="3"/>
        <v>17969.352530543973</v>
      </c>
      <c r="S27" s="241">
        <f t="shared" si="4"/>
        <v>22421.219148471544</v>
      </c>
      <c r="T27" s="242">
        <f t="shared" si="5"/>
        <v>0</v>
      </c>
      <c r="U27" s="245">
        <f t="shared" si="6"/>
        <v>0</v>
      </c>
      <c r="V27" s="246">
        <f>IF($A27&lt;=$N$4,VLOOKUP(A27,'DOE Fuel Esc Rates'!$T$9:$W$38,2,TRUE),"")</f>
        <v>2026</v>
      </c>
      <c r="W27" s="247">
        <f t="shared" si="7"/>
        <v>672038.94238728785</v>
      </c>
      <c r="X27" s="241">
        <f t="shared" si="8"/>
        <v>471354.5928966084</v>
      </c>
      <c r="Y27" s="248">
        <f>IF(A27&lt;&gt;"",SUM(X$15:X27),"")</f>
        <v>7117928.3289120477</v>
      </c>
      <c r="Z27" s="249">
        <f>IF(A27&lt;&gt;"",LCC0!Y27-Y27,"")</f>
        <v>-60304.759224740788</v>
      </c>
      <c r="AA27" s="312" t="str">
        <f>IF(A27&lt;&gt;"",IF(Z27&gt;0,IF(SUM(AA$16:AA26)=0,A26+(-Z26)/(Z27-Z26),""),""),"")</f>
        <v/>
      </c>
      <c r="AB27" s="198"/>
      <c r="AC27" s="251">
        <f t="shared" si="9"/>
        <v>672038.94238728785</v>
      </c>
      <c r="AE27" s="198"/>
    </row>
    <row r="28" spans="1:31" x14ac:dyDescent="0.2">
      <c r="A28" s="176">
        <f t="shared" si="13"/>
        <v>13</v>
      </c>
      <c r="B28" s="56"/>
      <c r="C28" s="51">
        <v>0</v>
      </c>
      <c r="D28" s="252">
        <f t="shared" si="10"/>
        <v>0</v>
      </c>
      <c r="E28" s="56"/>
      <c r="F28" s="51">
        <v>0</v>
      </c>
      <c r="G28" s="241">
        <f t="shared" si="0"/>
        <v>0</v>
      </c>
      <c r="H28" s="242">
        <f>IF($A28&lt;=$N$4,H$15*'General Data'!$S20,"")</f>
        <v>620100</v>
      </c>
      <c r="I28" s="243">
        <f>IF(A28&lt;&gt;"",IF(I$15="",VLOOKUP(A28,'DOE Fuel Esc Rates'!$T$9:$W$38,3,TRUE),I$15),"")</f>
        <v>-4.282655246252709E-3</v>
      </c>
      <c r="J28" s="243">
        <f>((1+I28)*(1+'General Data'!$M$25))-1</f>
        <v>-3.2869379014990319E-3</v>
      </c>
      <c r="K28" s="253">
        <f t="shared" si="11"/>
        <v>637330.43890116829</v>
      </c>
      <c r="L28" s="253">
        <f t="shared" si="1"/>
        <v>422257.92592976964</v>
      </c>
      <c r="M28" s="241">
        <f t="shared" si="2"/>
        <v>433991.01638819074</v>
      </c>
      <c r="N28" s="242">
        <f>IF($A28&lt;=$N$4,N$15*'General Data'!$S20,"")</f>
        <v>25620</v>
      </c>
      <c r="O28" s="243">
        <f>IF(A28&lt;&gt;"",IF(O$15="",VLOOKUP(A28,'DOE Fuel Esc Rates'!$T$9:$W$38,4,TRUE),O$15),"")</f>
        <v>-7.2202166064981865E-3</v>
      </c>
      <c r="P28" s="243">
        <f>((1+O28)*(1+'General Data'!$M$25))-1</f>
        <v>-6.2274368231047816E-3</v>
      </c>
      <c r="Q28" s="253">
        <f t="shared" si="12"/>
        <v>31736.486486486501</v>
      </c>
      <c r="R28" s="253">
        <f t="shared" si="3"/>
        <v>17445.973330625216</v>
      </c>
      <c r="S28" s="241">
        <f t="shared" si="4"/>
        <v>21611.002999648364</v>
      </c>
      <c r="T28" s="242">
        <f t="shared" si="5"/>
        <v>0</v>
      </c>
      <c r="U28" s="245">
        <f t="shared" si="6"/>
        <v>0</v>
      </c>
      <c r="V28" s="246">
        <f>IF($A28&lt;=$N$4,VLOOKUP(A28,'DOE Fuel Esc Rates'!$T$9:$W$38,2,TRUE),"")</f>
        <v>2027</v>
      </c>
      <c r="W28" s="247">
        <f t="shared" si="7"/>
        <v>669066.9253876548</v>
      </c>
      <c r="X28" s="241">
        <f t="shared" si="8"/>
        <v>455602.01938783913</v>
      </c>
      <c r="Y28" s="248">
        <f>IF(A28&lt;&gt;"",SUM(X$15:X28),"")</f>
        <v>7573530.348299887</v>
      </c>
      <c r="Z28" s="249">
        <f>IF(A28&lt;&gt;"",LCC0!Y28-Y28,"")</f>
        <v>-35215.427619773895</v>
      </c>
      <c r="AA28" s="312" t="str">
        <f>IF(A28&lt;&gt;"",IF(Z28&gt;0,IF(SUM(AA$16:AA27)=0,A27+(-Z27)/(Z28-Z27),""),""),"")</f>
        <v/>
      </c>
      <c r="AB28" s="198"/>
      <c r="AC28" s="251">
        <f t="shared" si="9"/>
        <v>669066.9253876548</v>
      </c>
      <c r="AE28" s="198"/>
    </row>
    <row r="29" spans="1:31" x14ac:dyDescent="0.2">
      <c r="A29" s="176">
        <f t="shared" si="13"/>
        <v>14</v>
      </c>
      <c r="B29" s="56"/>
      <c r="C29" s="51">
        <v>0</v>
      </c>
      <c r="D29" s="252">
        <f t="shared" si="10"/>
        <v>0</v>
      </c>
      <c r="E29" s="56"/>
      <c r="F29" s="51">
        <v>0</v>
      </c>
      <c r="G29" s="241">
        <f t="shared" si="0"/>
        <v>0</v>
      </c>
      <c r="H29" s="242">
        <f>IF($A29&lt;=$N$4,H$15*'General Data'!$S21,"")</f>
        <v>620100</v>
      </c>
      <c r="I29" s="243">
        <f>IF(A29&lt;&gt;"",IF(I$15="",VLOOKUP(A29,'DOE Fuel Esc Rates'!$T$9:$W$38,3,TRUE),I$15),"")</f>
        <v>-7.0660522273424675E-3</v>
      </c>
      <c r="J29" s="243">
        <f>((1+I29)*(1+'General Data'!$M$25))-1</f>
        <v>-6.0731182795699112E-3</v>
      </c>
      <c r="K29" s="253">
        <f t="shared" si="11"/>
        <v>632827.02873381751</v>
      </c>
      <c r="L29" s="253">
        <f t="shared" si="1"/>
        <v>409959.15138812579</v>
      </c>
      <c r="M29" s="241">
        <f t="shared" si="2"/>
        <v>418373.21669921774</v>
      </c>
      <c r="N29" s="242">
        <f>IF($A29&lt;=$N$4,N$15*'General Data'!$S21,"")</f>
        <v>25620</v>
      </c>
      <c r="O29" s="243">
        <f>IF(A29&lt;&gt;"",IF(O$15="",VLOOKUP(A29,'DOE Fuel Esc Rates'!$T$9:$W$38,4,TRUE),O$15),"")</f>
        <v>-4.5454545454546302E-3</v>
      </c>
      <c r="P29" s="243">
        <f>((1+O29)*(1+'General Data'!$M$25))-1</f>
        <v>-3.5500000000001641E-3</v>
      </c>
      <c r="Q29" s="253">
        <f t="shared" si="12"/>
        <v>31592.229729729741</v>
      </c>
      <c r="R29" s="253">
        <f t="shared" si="3"/>
        <v>16937.838185073026</v>
      </c>
      <c r="S29" s="241">
        <f t="shared" si="4"/>
        <v>20886.185599836677</v>
      </c>
      <c r="T29" s="242">
        <f t="shared" si="5"/>
        <v>0</v>
      </c>
      <c r="U29" s="245">
        <f t="shared" si="6"/>
        <v>0</v>
      </c>
      <c r="V29" s="246">
        <f>IF($A29&lt;=$N$4,VLOOKUP(A29,'DOE Fuel Esc Rates'!$T$9:$W$38,2,TRUE),"")</f>
        <v>2028</v>
      </c>
      <c r="W29" s="247">
        <f t="shared" si="7"/>
        <v>664419.25846354722</v>
      </c>
      <c r="X29" s="241">
        <f t="shared" si="8"/>
        <v>439259.40229905443</v>
      </c>
      <c r="Y29" s="248">
        <f>IF(A29&lt;&gt;"",SUM(X$15:X29),"")</f>
        <v>8012789.750598941</v>
      </c>
      <c r="Z29" s="249">
        <f>IF(A29&lt;&gt;"",LCC0!Y29-Y29,"")</f>
        <v>-11029.591479460709</v>
      </c>
      <c r="AA29" s="312" t="str">
        <f>IF(A29&lt;&gt;"",IF(Z29&gt;0,IF(SUM(AA$16:AA28)=0,A28+(-Z28)/(Z29-Z28),""),""),"")</f>
        <v/>
      </c>
      <c r="AB29" s="198"/>
      <c r="AC29" s="251">
        <f t="shared" si="9"/>
        <v>664419.25846354722</v>
      </c>
      <c r="AE29" s="198"/>
    </row>
    <row r="30" spans="1:31" x14ac:dyDescent="0.2">
      <c r="A30" s="176">
        <f t="shared" si="13"/>
        <v>15</v>
      </c>
      <c r="B30" s="56" t="s">
        <v>51</v>
      </c>
      <c r="C30" s="51">
        <v>0</v>
      </c>
      <c r="D30" s="252">
        <f t="shared" si="10"/>
        <v>0</v>
      </c>
      <c r="E30" s="56"/>
      <c r="F30" s="51">
        <v>0</v>
      </c>
      <c r="G30" s="241">
        <f t="shared" si="0"/>
        <v>0</v>
      </c>
      <c r="H30" s="242">
        <f>IF($A30&lt;=$N$4,H$15*'General Data'!$S22,"")</f>
        <v>620100</v>
      </c>
      <c r="I30" s="243">
        <f>IF(A30&lt;&gt;"",IF(I$15="",VLOOKUP(A30,'DOE Fuel Esc Rates'!$T$9:$W$38,3,TRUE),I$15),"")</f>
        <v>-2.7846534653466204E-3</v>
      </c>
      <c r="J30" s="243">
        <f>((1+I30)*(1+'General Data'!$M$25))-1</f>
        <v>-1.7874381188121014E-3</v>
      </c>
      <c r="K30" s="253">
        <f t="shared" si="11"/>
        <v>631064.82475528889</v>
      </c>
      <c r="L30" s="253">
        <f t="shared" si="1"/>
        <v>398018.59358070465</v>
      </c>
      <c r="M30" s="241">
        <f t="shared" si="2"/>
        <v>405056.49735099811</v>
      </c>
      <c r="N30" s="242">
        <f>IF($A30&lt;=$N$4,N$15*'General Data'!$S22,"")</f>
        <v>25620</v>
      </c>
      <c r="O30" s="243">
        <f>IF(A30&lt;&gt;"",IF(O$15="",VLOOKUP(A30,'DOE Fuel Esc Rates'!$T$9:$W$38,4,TRUE),O$15),"")</f>
        <v>2.73972602739736E-3</v>
      </c>
      <c r="P30" s="243">
        <f>((1+O30)*(1+'General Data'!$M$25))-1</f>
        <v>3.7424657534246286E-3</v>
      </c>
      <c r="Q30" s="253">
        <f t="shared" si="12"/>
        <v>31678.783783783798</v>
      </c>
      <c r="R30" s="253">
        <f t="shared" si="3"/>
        <v>16444.503092303908</v>
      </c>
      <c r="S30" s="241">
        <f t="shared" si="4"/>
        <v>20333.40585061903</v>
      </c>
      <c r="T30" s="242">
        <f t="shared" si="5"/>
        <v>0</v>
      </c>
      <c r="U30" s="245">
        <f t="shared" si="6"/>
        <v>0</v>
      </c>
      <c r="V30" s="246">
        <f>IF($A30&lt;=$N$4,VLOOKUP(A30,'DOE Fuel Esc Rates'!$T$9:$W$38,2,TRUE),"")</f>
        <v>2029</v>
      </c>
      <c r="W30" s="247">
        <f t="shared" si="7"/>
        <v>662743.60853907268</v>
      </c>
      <c r="X30" s="241">
        <f t="shared" si="8"/>
        <v>425389.90320161713</v>
      </c>
      <c r="Y30" s="248">
        <f>IF(A30&lt;&gt;"",SUM(X$15:X30),"")</f>
        <v>8438179.6538005583</v>
      </c>
      <c r="Z30" s="249">
        <f>IF(A30&lt;&gt;"",LCC0!Y30-Y30,"")</f>
        <v>12385.103546148166</v>
      </c>
      <c r="AA30" s="312">
        <f>IF(A30&lt;&gt;"",IF(Z30&gt;0,IF(SUM(AA$16:AA29)=0,A29+(-Z29)/(Z30-Z29),""),""),"")</f>
        <v>14.471054244669748</v>
      </c>
      <c r="AB30" s="198"/>
      <c r="AC30" s="251">
        <f t="shared" si="9"/>
        <v>662743.60853907268</v>
      </c>
      <c r="AE30" s="198"/>
    </row>
    <row r="31" spans="1:31" x14ac:dyDescent="0.2">
      <c r="A31" s="176">
        <f t="shared" si="13"/>
        <v>16</v>
      </c>
      <c r="B31" s="56"/>
      <c r="C31" s="51">
        <v>0</v>
      </c>
      <c r="D31" s="252">
        <f t="shared" si="10"/>
        <v>0</v>
      </c>
      <c r="E31" s="56"/>
      <c r="F31" s="51">
        <v>0</v>
      </c>
      <c r="G31" s="241">
        <f t="shared" si="0"/>
        <v>0</v>
      </c>
      <c r="H31" s="242">
        <f>IF($A31&lt;=$N$4,H$15*'General Data'!$S23,"")</f>
        <v>620100</v>
      </c>
      <c r="I31" s="243">
        <f>IF(A31&lt;&gt;"",IF(I$15="",VLOOKUP(A31,'DOE Fuel Esc Rates'!$T$9:$W$38,3,TRUE),I$15),"")</f>
        <v>-1.2410797393732631E-3</v>
      </c>
      <c r="J31" s="243">
        <f>((1+I31)*(1+'General Data'!$M$25))-1</f>
        <v>-2.4232081911279568E-4</v>
      </c>
      <c r="K31" s="253">
        <f t="shared" si="11"/>
        <v>630281.62298705394</v>
      </c>
      <c r="L31" s="253">
        <f t="shared" si="1"/>
        <v>386425.81901039294</v>
      </c>
      <c r="M31" s="241">
        <f t="shared" si="2"/>
        <v>392770.66984352848</v>
      </c>
      <c r="N31" s="242">
        <f>IF($A31&lt;=$N$4,N$15*'General Data'!$S23,"")</f>
        <v>25620</v>
      </c>
      <c r="O31" s="243">
        <f>IF(A31&lt;&gt;"",IF(O$15="",VLOOKUP(A31,'DOE Fuel Esc Rates'!$T$9:$W$38,4,TRUE),O$15),"")</f>
        <v>8.1967213114753079E-3</v>
      </c>
      <c r="P31" s="243">
        <f>((1+O31)*(1+'General Data'!$M$25))-1</f>
        <v>9.2049180327866686E-3</v>
      </c>
      <c r="Q31" s="253">
        <f t="shared" si="12"/>
        <v>31938.445945945958</v>
      </c>
      <c r="R31" s="253">
        <f t="shared" si="3"/>
        <v>15965.536982819331</v>
      </c>
      <c r="S31" s="241">
        <f t="shared" si="4"/>
        <v>19902.983603582212</v>
      </c>
      <c r="T31" s="242">
        <f t="shared" si="5"/>
        <v>0</v>
      </c>
      <c r="U31" s="245">
        <f t="shared" si="6"/>
        <v>0</v>
      </c>
      <c r="V31" s="246">
        <f>IF($A31&lt;=$N$4,VLOOKUP(A31,'DOE Fuel Esc Rates'!$T$9:$W$38,2,TRUE),"")</f>
        <v>2030</v>
      </c>
      <c r="W31" s="247">
        <f t="shared" si="7"/>
        <v>662220.06893299986</v>
      </c>
      <c r="X31" s="241">
        <f t="shared" si="8"/>
        <v>412673.65344711067</v>
      </c>
      <c r="Y31" s="248">
        <f>IF(A31&lt;&gt;"",SUM(X$15:X31),"")</f>
        <v>8850853.3072476685</v>
      </c>
      <c r="Z31" s="249">
        <f>IF(A31&lt;&gt;"",LCC0!Y31-Y31,"")</f>
        <v>35087.422399066389</v>
      </c>
      <c r="AA31" s="312" t="str">
        <f>IF(A31&lt;&gt;"",IF(Z31&gt;0,IF(SUM(AA$16:AA30)=0,A30+(-Z30)/(Z31-Z30),""),""),"")</f>
        <v/>
      </c>
      <c r="AB31" s="198"/>
      <c r="AC31" s="251">
        <f t="shared" si="9"/>
        <v>662220.06893299986</v>
      </c>
      <c r="AE31" s="198"/>
    </row>
    <row r="32" spans="1:31" x14ac:dyDescent="0.2">
      <c r="A32" s="176">
        <f t="shared" si="13"/>
        <v>17</v>
      </c>
      <c r="B32" s="56"/>
      <c r="C32" s="51">
        <v>0</v>
      </c>
      <c r="D32" s="252">
        <f t="shared" si="10"/>
        <v>0</v>
      </c>
      <c r="E32" s="56"/>
      <c r="F32" s="51">
        <v>0</v>
      </c>
      <c r="G32" s="241">
        <f t="shared" si="0"/>
        <v>0</v>
      </c>
      <c r="H32" s="242">
        <f>IF($A32&lt;=$N$4,H$15*'General Data'!$S24,"")</f>
        <v>620100</v>
      </c>
      <c r="I32" s="243">
        <f>IF(A32&lt;&gt;"",IF(I$15="",VLOOKUP(A32,'DOE Fuel Esc Rates'!$T$9:$W$38,3,TRUE),I$15),"")</f>
        <v>0</v>
      </c>
      <c r="J32" s="243">
        <f>((1+I32)*(1+'General Data'!$M$25))-1</f>
        <v>9.9999999999988987E-4</v>
      </c>
      <c r="K32" s="253">
        <f t="shared" si="11"/>
        <v>630281.62298705394</v>
      </c>
      <c r="L32" s="253">
        <f t="shared" si="1"/>
        <v>375170.69806834264</v>
      </c>
      <c r="M32" s="241">
        <f t="shared" si="2"/>
        <v>381330.74742090143</v>
      </c>
      <c r="N32" s="242">
        <f>IF($A32&lt;=$N$4,N$15*'General Data'!$S24,"")</f>
        <v>25620</v>
      </c>
      <c r="O32" s="243">
        <f>IF(A32&lt;&gt;"",IF(O$15="",VLOOKUP(A32,'DOE Fuel Esc Rates'!$T$9:$W$38,4,TRUE),O$15),"")</f>
        <v>1.6260162601625883E-2</v>
      </c>
      <c r="P32" s="243">
        <f>((1+O32)*(1+'General Data'!$M$25))-1</f>
        <v>1.7276422764227473E-2</v>
      </c>
      <c r="Q32" s="253">
        <f t="shared" si="12"/>
        <v>32457.770270270277</v>
      </c>
      <c r="R32" s="253">
        <f t="shared" si="3"/>
        <v>15500.521342543039</v>
      </c>
      <c r="S32" s="241">
        <f t="shared" si="4"/>
        <v>19637.484808965004</v>
      </c>
      <c r="T32" s="242">
        <f t="shared" si="5"/>
        <v>0</v>
      </c>
      <c r="U32" s="245">
        <f t="shared" si="6"/>
        <v>0</v>
      </c>
      <c r="V32" s="246">
        <f>IF($A32&lt;=$N$4,VLOOKUP(A32,'DOE Fuel Esc Rates'!$T$9:$W$38,2,TRUE),"")</f>
        <v>2031</v>
      </c>
      <c r="W32" s="247">
        <f t="shared" si="7"/>
        <v>662739.39325732423</v>
      </c>
      <c r="X32" s="241">
        <f t="shared" si="8"/>
        <v>400968.23222986644</v>
      </c>
      <c r="Y32" s="248">
        <f>IF(A32&lt;&gt;"",SUM(X$15:X32),"")</f>
        <v>9251821.5394775346</v>
      </c>
      <c r="Z32" s="249">
        <f>IF(A32&lt;&gt;"",LCC0!Y32-Y32,"")</f>
        <v>57124.829509973526</v>
      </c>
      <c r="AA32" s="312" t="str">
        <f>IF(A32&lt;&gt;"",IF(Z32&gt;0,IF(SUM(AA$16:AA31)=0,A31+(-Z31)/(Z32-Z31),""),""),"")</f>
        <v/>
      </c>
      <c r="AB32" s="198"/>
      <c r="AC32" s="251">
        <f t="shared" si="9"/>
        <v>662739.39325732423</v>
      </c>
      <c r="AE32" s="198"/>
    </row>
    <row r="33" spans="1:31" x14ac:dyDescent="0.2">
      <c r="A33" s="176">
        <f t="shared" si="13"/>
        <v>18</v>
      </c>
      <c r="B33" s="56"/>
      <c r="C33" s="51">
        <v>0</v>
      </c>
      <c r="D33" s="252">
        <f t="shared" si="10"/>
        <v>0</v>
      </c>
      <c r="E33" s="56"/>
      <c r="F33" s="51">
        <v>0</v>
      </c>
      <c r="G33" s="241">
        <f t="shared" si="0"/>
        <v>0</v>
      </c>
      <c r="H33" s="242">
        <f>IF($A33&lt;=$N$4,H$15*'General Data'!$S25,"")</f>
        <v>620100</v>
      </c>
      <c r="I33" s="243">
        <f>IF(A33&lt;&gt;"",IF(I$15="",VLOOKUP(A33,'DOE Fuel Esc Rates'!$T$9:$W$38,3,TRUE),I$15),"")</f>
        <v>2.1745883814849876E-3</v>
      </c>
      <c r="J33" s="243">
        <f>((1+I33)*(1+'General Data'!$M$25))-1</f>
        <v>3.1767629698664646E-3</v>
      </c>
      <c r="K33" s="253">
        <f t="shared" si="11"/>
        <v>631652.22608146514</v>
      </c>
      <c r="L33" s="253">
        <f t="shared" si="1"/>
        <v>364243.39618285693</v>
      </c>
      <c r="M33" s="241">
        <f t="shared" si="2"/>
        <v>371029.11148907372</v>
      </c>
      <c r="N33" s="242">
        <f>IF($A33&lt;=$N$4,N$15*'General Data'!$S25,"")</f>
        <v>25620</v>
      </c>
      <c r="O33" s="243">
        <f>IF(A33&lt;&gt;"",IF(O$15="",VLOOKUP(A33,'DOE Fuel Esc Rates'!$T$9:$W$38,4,TRUE),O$15),"")</f>
        <v>1.3333333333333419E-2</v>
      </c>
      <c r="P33" s="243">
        <f>((1+O33)*(1+'General Data'!$M$25))-1</f>
        <v>1.434666666666673E-2</v>
      </c>
      <c r="Q33" s="253">
        <f t="shared" si="12"/>
        <v>32890.540540540547</v>
      </c>
      <c r="R33" s="253">
        <f t="shared" si="3"/>
        <v>15049.049847129163</v>
      </c>
      <c r="S33" s="241">
        <f t="shared" si="4"/>
        <v>19319.726155098255</v>
      </c>
      <c r="T33" s="242">
        <f t="shared" si="5"/>
        <v>0</v>
      </c>
      <c r="U33" s="245">
        <f t="shared" si="6"/>
        <v>0</v>
      </c>
      <c r="V33" s="246">
        <f>IF($A33&lt;=$N$4,VLOOKUP(A33,'DOE Fuel Esc Rates'!$T$9:$W$38,2,TRUE),"")</f>
        <v>2032</v>
      </c>
      <c r="W33" s="247">
        <f t="shared" si="7"/>
        <v>664542.76662200573</v>
      </c>
      <c r="X33" s="241">
        <f t="shared" si="8"/>
        <v>390348.83764417196</v>
      </c>
      <c r="Y33" s="248">
        <f>IF(A33&lt;&gt;"",SUM(X$15:X33),"")</f>
        <v>9642170.3771217074</v>
      </c>
      <c r="Z33" s="249">
        <f>IF(A33&lt;&gt;"",LCC0!Y33-Y33,"")</f>
        <v>78564.405703181401</v>
      </c>
      <c r="AA33" s="312" t="str">
        <f>IF(A33&lt;&gt;"",IF(Z33&gt;0,IF(SUM(AA$16:AA32)=0,A32+(-Z32)/(Z33-Z32),""),""),"")</f>
        <v/>
      </c>
      <c r="AB33" s="198"/>
      <c r="AC33" s="251">
        <f t="shared" si="9"/>
        <v>664542.76662200573</v>
      </c>
      <c r="AE33" s="198"/>
    </row>
    <row r="34" spans="1:31" x14ac:dyDescent="0.2">
      <c r="A34" s="176">
        <f t="shared" si="13"/>
        <v>19</v>
      </c>
      <c r="B34" s="56"/>
      <c r="C34" s="51">
        <v>0</v>
      </c>
      <c r="D34" s="252">
        <f t="shared" si="10"/>
        <v>0</v>
      </c>
      <c r="E34" s="56"/>
      <c r="F34" s="51">
        <v>0</v>
      </c>
      <c r="G34" s="241">
        <f t="shared" si="0"/>
        <v>0</v>
      </c>
      <c r="H34" s="242">
        <f>IF($A34&lt;=$N$4,H$15*'General Data'!$S26,"")</f>
        <v>620100</v>
      </c>
      <c r="I34" s="243">
        <f>IF(A34&lt;&gt;"",IF(I$15="",VLOOKUP(A34,'DOE Fuel Esc Rates'!$T$9:$W$38,3,TRUE),I$15),"")</f>
        <v>1.2399256044637319E-3</v>
      </c>
      <c r="J34" s="243">
        <f>((1+I34)*(1+'General Data'!$M$25))-1</f>
        <v>2.2411655300680344E-3</v>
      </c>
      <c r="K34" s="253">
        <f t="shared" si="11"/>
        <v>632435.42784970009</v>
      </c>
      <c r="L34" s="253">
        <f t="shared" si="1"/>
        <v>353634.3652260747</v>
      </c>
      <c r="M34" s="241">
        <f t="shared" si="2"/>
        <v>360669.08736350533</v>
      </c>
      <c r="N34" s="242">
        <f>IF($A34&lt;=$N$4,N$15*'General Data'!$S26,"")</f>
        <v>25620</v>
      </c>
      <c r="O34" s="243">
        <f>IF(A34&lt;&gt;"",IF(O$15="",VLOOKUP(A34,'DOE Fuel Esc Rates'!$T$9:$W$38,4,TRUE),O$15),"")</f>
        <v>1.2280701754385781E-2</v>
      </c>
      <c r="P34" s="243">
        <f>((1+O34)*(1+'General Data'!$M$25))-1</f>
        <v>1.3292982456140079E-2</v>
      </c>
      <c r="Q34" s="253">
        <f t="shared" si="12"/>
        <v>33294.45945945946</v>
      </c>
      <c r="R34" s="253">
        <f t="shared" si="3"/>
        <v>14610.728006921519</v>
      </c>
      <c r="S34" s="241">
        <f t="shared" si="4"/>
        <v>18987.364999985846</v>
      </c>
      <c r="T34" s="242">
        <f t="shared" si="5"/>
        <v>0</v>
      </c>
      <c r="U34" s="245">
        <f t="shared" si="6"/>
        <v>0</v>
      </c>
      <c r="V34" s="246">
        <f>IF($A34&lt;=$N$4,VLOOKUP(A34,'DOE Fuel Esc Rates'!$T$9:$W$38,2,TRUE),"")</f>
        <v>2033</v>
      </c>
      <c r="W34" s="247">
        <f t="shared" si="7"/>
        <v>665729.8873091595</v>
      </c>
      <c r="X34" s="241">
        <f t="shared" si="8"/>
        <v>379656.45236349117</v>
      </c>
      <c r="Y34" s="248">
        <f>IF(A34&lt;&gt;"",SUM(X$15:X34),"")</f>
        <v>10021826.829485198</v>
      </c>
      <c r="Z34" s="249">
        <f>IF(A34&lt;&gt;"",LCC0!Y34-Y34,"")</f>
        <v>99402.912459224463</v>
      </c>
      <c r="AA34" s="312" t="str">
        <f>IF(A34&lt;&gt;"",IF(Z34&gt;0,IF(SUM(AA$16:AA33)=0,A33+(-Z33)/(Z34-Z33),""),""),"")</f>
        <v/>
      </c>
      <c r="AB34" s="198"/>
      <c r="AC34" s="251">
        <f t="shared" si="9"/>
        <v>665729.8873091595</v>
      </c>
      <c r="AE34" s="198"/>
    </row>
    <row r="35" spans="1:31" x14ac:dyDescent="0.2">
      <c r="A35" s="176">
        <f t="shared" si="13"/>
        <v>20</v>
      </c>
      <c r="B35" s="56"/>
      <c r="C35" s="51">
        <v>0</v>
      </c>
      <c r="D35" s="252">
        <f t="shared" si="10"/>
        <v>0</v>
      </c>
      <c r="E35" s="56" t="s">
        <v>50</v>
      </c>
      <c r="F35" s="51">
        <v>0</v>
      </c>
      <c r="G35" s="241">
        <f t="shared" si="0"/>
        <v>0</v>
      </c>
      <c r="H35" s="242">
        <f>IF($A35&lt;=$N$4,H$15*'General Data'!$S27,"")</f>
        <v>620100</v>
      </c>
      <c r="I35" s="243">
        <f>IF(A35&lt;&gt;"",IF(I$15="",VLOOKUP(A35,'DOE Fuel Esc Rates'!$T$9:$W$38,3,TRUE),I$15),"")</f>
        <v>2.1671826625386803E-3</v>
      </c>
      <c r="J35" s="243">
        <f>((1+I35)*(1+'General Data'!$M$25))-1</f>
        <v>3.1693498452010083E-3</v>
      </c>
      <c r="K35" s="253">
        <f t="shared" si="11"/>
        <v>633806.03094411117</v>
      </c>
      <c r="L35" s="253">
        <f t="shared" si="1"/>
        <v>343334.33517094632</v>
      </c>
      <c r="M35" s="241">
        <f t="shared" si="2"/>
        <v>350923.03219082829</v>
      </c>
      <c r="N35" s="242">
        <f>IF($A35&lt;=$N$4,N$15*'General Data'!$S27,"")</f>
        <v>25620</v>
      </c>
      <c r="O35" s="243">
        <f>IF(A35&lt;&gt;"",IF(O$15="",VLOOKUP(A35,'DOE Fuel Esc Rates'!$T$9:$W$38,4,TRUE),O$15),"")</f>
        <v>1.7331022530329365E-2</v>
      </c>
      <c r="P35" s="243">
        <f>((1+O35)*(1+'General Data'!$M$25))-1</f>
        <v>1.8348353552859686E-2</v>
      </c>
      <c r="Q35" s="253">
        <f t="shared" si="12"/>
        <v>33871.486486486487</v>
      </c>
      <c r="R35" s="253">
        <f t="shared" si="3"/>
        <v>14185.172822253902</v>
      </c>
      <c r="S35" s="241">
        <f t="shared" si="4"/>
        <v>18753.82082581766</v>
      </c>
      <c r="T35" s="242">
        <f t="shared" si="5"/>
        <v>0</v>
      </c>
      <c r="U35" s="245">
        <f t="shared" si="6"/>
        <v>0</v>
      </c>
      <c r="V35" s="246">
        <f>IF($A35&lt;=$N$4,VLOOKUP(A35,'DOE Fuel Esc Rates'!$T$9:$W$38,2,TRUE),"")</f>
        <v>2034</v>
      </c>
      <c r="W35" s="247">
        <f t="shared" si="7"/>
        <v>667677.51743059768</v>
      </c>
      <c r="X35" s="241">
        <f t="shared" si="8"/>
        <v>369676.85301664594</v>
      </c>
      <c r="Y35" s="248">
        <f>IF(A35&lt;&gt;"",SUM(X$15:X35),"")</f>
        <v>10391503.682501845</v>
      </c>
      <c r="Z35" s="249">
        <f>IF(A35&lt;&gt;"",LCC0!Y35-Y35,"")</f>
        <v>119675.04465541244</v>
      </c>
      <c r="AA35" s="312" t="str">
        <f>IF(A35&lt;&gt;"",IF(Z35&gt;0,IF(SUM(AA$16:AA34)=0,A34+(-Z34)/(Z35-Z34),""),""),"")</f>
        <v/>
      </c>
      <c r="AB35" s="198"/>
      <c r="AC35" s="251">
        <f t="shared" si="9"/>
        <v>667677.51743059768</v>
      </c>
      <c r="AE35" s="198"/>
    </row>
    <row r="36" spans="1:31" x14ac:dyDescent="0.2">
      <c r="A36" s="176">
        <f t="shared" si="13"/>
        <v>21</v>
      </c>
      <c r="B36" s="56"/>
      <c r="C36" s="51">
        <v>0</v>
      </c>
      <c r="D36" s="252">
        <f t="shared" si="10"/>
        <v>0</v>
      </c>
      <c r="E36" s="56"/>
      <c r="F36" s="51">
        <v>0</v>
      </c>
      <c r="G36" s="241">
        <f t="shared" si="0"/>
        <v>0</v>
      </c>
      <c r="H36" s="242">
        <f>IF($A36&lt;=$N$4,H$15*'General Data'!$S28,"")</f>
        <v>620100</v>
      </c>
      <c r="I36" s="243">
        <f>IF(A36&lt;&gt;"",IF(I$15="",VLOOKUP(A36,'DOE Fuel Esc Rates'!$T$9:$W$38,3,TRUE),I$15),"")</f>
        <v>2.780352177942591E-3</v>
      </c>
      <c r="J36" s="243">
        <f>((1+I36)*(1+'General Data'!$M$25))-1</f>
        <v>3.7831325301205254E-3</v>
      </c>
      <c r="K36" s="253">
        <f t="shared" si="11"/>
        <v>635568.23492263979</v>
      </c>
      <c r="L36" s="253">
        <f t="shared" si="1"/>
        <v>333334.30599121004</v>
      </c>
      <c r="M36" s="241">
        <f t="shared" si="2"/>
        <v>341649.24447346636</v>
      </c>
      <c r="N36" s="242">
        <f>IF($A36&lt;=$N$4,N$15*'General Data'!$S28,"")</f>
        <v>25620</v>
      </c>
      <c r="O36" s="243">
        <f>IF(A36&lt;&gt;"",IF(O$15="",VLOOKUP(A36,'DOE Fuel Esc Rates'!$T$9:$W$38,4,TRUE),O$15),"")</f>
        <v>1.7035775127768327E-2</v>
      </c>
      <c r="P36" s="243">
        <f>((1+O36)*(1+'General Data'!$M$25))-1</f>
        <v>1.8052810902895899E-2</v>
      </c>
      <c r="Q36" s="253">
        <f t="shared" si="12"/>
        <v>34448.513513513513</v>
      </c>
      <c r="R36" s="253">
        <f t="shared" si="3"/>
        <v>13772.012448790198</v>
      </c>
      <c r="S36" s="241">
        <f t="shared" si="4"/>
        <v>18517.773495332767</v>
      </c>
      <c r="T36" s="242">
        <f t="shared" si="5"/>
        <v>0</v>
      </c>
      <c r="U36" s="245">
        <f t="shared" si="6"/>
        <v>0</v>
      </c>
      <c r="V36" s="246">
        <f>IF($A36&lt;=$N$4,VLOOKUP(A36,'DOE Fuel Esc Rates'!$T$9:$W$38,2,TRUE),"")</f>
        <v>2035</v>
      </c>
      <c r="W36" s="247">
        <f t="shared" si="7"/>
        <v>670016.74843615328</v>
      </c>
      <c r="X36" s="241">
        <f t="shared" si="8"/>
        <v>360167.0179687991</v>
      </c>
      <c r="Y36" s="248">
        <f>IF(A36&lt;&gt;"",SUM(X$15:X36),"")</f>
        <v>10751670.700470645</v>
      </c>
      <c r="Z36" s="249">
        <f>IF(A36&lt;&gt;"",LCC0!Y36-Y36,"")</f>
        <v>139408.40909755975</v>
      </c>
      <c r="AA36" s="312" t="str">
        <f>IF(A36&lt;&gt;"",IF(Z36&gt;0,IF(SUM(AA$16:AA35)=0,A35+(-Z35)/(Z36-Z35),""),""),"")</f>
        <v/>
      </c>
      <c r="AB36" s="198"/>
      <c r="AC36" s="251">
        <f t="shared" si="9"/>
        <v>670016.74843615328</v>
      </c>
      <c r="AE36" s="198"/>
    </row>
    <row r="37" spans="1:31" x14ac:dyDescent="0.2">
      <c r="A37" s="176">
        <f t="shared" si="13"/>
        <v>22</v>
      </c>
      <c r="B37" s="56"/>
      <c r="C37" s="51">
        <v>0</v>
      </c>
      <c r="D37" s="252">
        <f t="shared" si="10"/>
        <v>0</v>
      </c>
      <c r="E37" s="56"/>
      <c r="F37" s="51">
        <v>0</v>
      </c>
      <c r="G37" s="241">
        <f t="shared" si="0"/>
        <v>0</v>
      </c>
      <c r="H37" s="242">
        <f>IF($A37&lt;=$N$4,H$15*'General Data'!$S29,"")</f>
        <v>620100</v>
      </c>
      <c r="I37" s="243">
        <f>IF(A37&lt;&gt;"",IF(I$15="",VLOOKUP(A37,'DOE Fuel Esc Rates'!$T$9:$W$38,3,TRUE),I$15),"")</f>
        <v>4.6210720887245316E-3</v>
      </c>
      <c r="J37" s="243">
        <f>((1+I37)*(1+'General Data'!$M$25))-1</f>
        <v>5.6256931608131833E-3</v>
      </c>
      <c r="K37" s="253">
        <f t="shared" si="11"/>
        <v>638505.24155352067</v>
      </c>
      <c r="L37" s="253">
        <f t="shared" si="1"/>
        <v>323625.53979729128</v>
      </c>
      <c r="M37" s="241">
        <f t="shared" si="2"/>
        <v>333231.09734100627</v>
      </c>
      <c r="N37" s="242">
        <f>IF($A37&lt;=$N$4,N$15*'General Data'!$S29,"")</f>
        <v>25620</v>
      </c>
      <c r="O37" s="243">
        <f>IF(A37&lt;&gt;"",IF(O$15="",VLOOKUP(A37,'DOE Fuel Esc Rates'!$T$9:$W$38,4,TRUE),O$15),"")</f>
        <v>1.0050251256281451E-2</v>
      </c>
      <c r="P37" s="243">
        <f>((1+O37)*(1+'General Data'!$M$25))-1</f>
        <v>1.1060301507537673E-2</v>
      </c>
      <c r="Q37" s="253">
        <f t="shared" si="12"/>
        <v>34794.729729729734</v>
      </c>
      <c r="R37" s="253">
        <f t="shared" si="3"/>
        <v>13370.885872611841</v>
      </c>
      <c r="S37" s="241">
        <f t="shared" si="4"/>
        <v>18159.108516182299</v>
      </c>
      <c r="T37" s="242">
        <f t="shared" si="5"/>
        <v>0</v>
      </c>
      <c r="U37" s="245">
        <f t="shared" si="6"/>
        <v>0</v>
      </c>
      <c r="V37" s="246">
        <f>IF($A37&lt;=$N$4,VLOOKUP(A37,'DOE Fuel Esc Rates'!$T$9:$W$38,2,TRUE),"")</f>
        <v>2036</v>
      </c>
      <c r="W37" s="247">
        <f t="shared" si="7"/>
        <v>673299.97128325037</v>
      </c>
      <c r="X37" s="241">
        <f t="shared" si="8"/>
        <v>351390.20585718856</v>
      </c>
      <c r="Y37" s="248">
        <f>IF(A37&lt;&gt;"",SUM(X$15:X37),"")</f>
        <v>11103060.906327834</v>
      </c>
      <c r="Z37" s="249">
        <f>IF(A37&lt;&gt;"",LCC0!Y37-Y37,"")</f>
        <v>158654.40570107661</v>
      </c>
      <c r="AA37" s="312" t="str">
        <f>IF(A37&lt;&gt;"",IF(Z37&gt;0,IF(SUM(AA$16:AA36)=0,A36+(-Z36)/(Z37-Z36),""),""),"")</f>
        <v/>
      </c>
      <c r="AB37" s="198"/>
      <c r="AC37" s="251">
        <f t="shared" si="9"/>
        <v>673299.97128325037</v>
      </c>
      <c r="AE37" s="198"/>
    </row>
    <row r="38" spans="1:31" x14ac:dyDescent="0.2">
      <c r="A38" s="176">
        <f t="shared" si="13"/>
        <v>23</v>
      </c>
      <c r="B38" s="56"/>
      <c r="C38" s="51">
        <v>0</v>
      </c>
      <c r="D38" s="252">
        <f t="shared" si="10"/>
        <v>0</v>
      </c>
      <c r="E38" s="56"/>
      <c r="F38" s="51">
        <v>0</v>
      </c>
      <c r="G38" s="241">
        <f t="shared" si="0"/>
        <v>0</v>
      </c>
      <c r="H38" s="242">
        <f>IF($A38&lt;=$N$4,H$15*'General Data'!$S30,"")</f>
        <v>620100</v>
      </c>
      <c r="I38" s="243">
        <f>IF(A38&lt;&gt;"",IF(I$15="",VLOOKUP(A38,'DOE Fuel Esc Rates'!$T$9:$W$38,3,TRUE),I$15),"")</f>
        <v>4.9064704078505272E-3</v>
      </c>
      <c r="J38" s="243">
        <f>((1+I38)*(1+'General Data'!$M$25))-1</f>
        <v>5.9113768782581566E-3</v>
      </c>
      <c r="K38" s="253">
        <f t="shared" si="11"/>
        <v>641638.04862646048</v>
      </c>
      <c r="L38" s="253">
        <f t="shared" si="1"/>
        <v>314199.55320125364</v>
      </c>
      <c r="M38" s="241">
        <f t="shared" si="2"/>
        <v>325112.70471755869</v>
      </c>
      <c r="N38" s="242">
        <f>IF($A38&lt;=$N$4,N$15*'General Data'!$S30,"")</f>
        <v>25620</v>
      </c>
      <c r="O38" s="243">
        <f>IF(A38&lt;&gt;"",IF(O$15="",VLOOKUP(A38,'DOE Fuel Esc Rates'!$T$9:$W$38,4,TRUE),O$15),"")</f>
        <v>1.8242122719734466E-2</v>
      </c>
      <c r="P38" s="243">
        <f>((1+O38)*(1+'General Data'!$M$25))-1</f>
        <v>1.9260364842454081E-2</v>
      </c>
      <c r="Q38" s="253">
        <f t="shared" si="12"/>
        <v>35429.45945945946</v>
      </c>
      <c r="R38" s="253">
        <f t="shared" si="3"/>
        <v>12981.442594768778</v>
      </c>
      <c r="S38" s="241">
        <f t="shared" si="4"/>
        <v>17951.814759432498</v>
      </c>
      <c r="T38" s="242">
        <f t="shared" si="5"/>
        <v>0</v>
      </c>
      <c r="U38" s="245">
        <f t="shared" si="6"/>
        <v>0</v>
      </c>
      <c r="V38" s="246">
        <f>IF($A38&lt;=$N$4,VLOOKUP(A38,'DOE Fuel Esc Rates'!$T$9:$W$38,2,TRUE),"")</f>
        <v>2037</v>
      </c>
      <c r="W38" s="247">
        <f t="shared" si="7"/>
        <v>677067.50808591989</v>
      </c>
      <c r="X38" s="241">
        <f t="shared" si="8"/>
        <v>343064.51947699121</v>
      </c>
      <c r="Y38" s="248">
        <f>IF(A38&lt;&gt;"",SUM(X$15:X38),"")</f>
        <v>11446125.425804825</v>
      </c>
      <c r="Z38" s="249">
        <f>IF(A38&lt;&gt;"",LCC0!Y38-Y38,"")</f>
        <v>177428.76577629521</v>
      </c>
      <c r="AA38" s="312" t="str">
        <f>IF(A38&lt;&gt;"",IF(Z38&gt;0,IF(SUM(AA$16:AA37)=0,A37+(-Z37)/(Z38-Z37),""),""),"")</f>
        <v/>
      </c>
      <c r="AB38" s="198"/>
      <c r="AC38" s="251">
        <f t="shared" si="9"/>
        <v>677067.50808591989</v>
      </c>
      <c r="AE38" s="198"/>
    </row>
    <row r="39" spans="1:31" x14ac:dyDescent="0.2">
      <c r="A39" s="176">
        <f t="shared" si="13"/>
        <v>24</v>
      </c>
      <c r="B39" s="56"/>
      <c r="C39" s="51">
        <v>0</v>
      </c>
      <c r="D39" s="252">
        <f t="shared" si="10"/>
        <v>0</v>
      </c>
      <c r="E39" s="56"/>
      <c r="F39" s="51">
        <v>0</v>
      </c>
      <c r="G39" s="241">
        <f t="shared" si="0"/>
        <v>0</v>
      </c>
      <c r="H39" s="242">
        <f>IF($A39&lt;=$N$4,H$15*'General Data'!$S31,"")</f>
        <v>620100</v>
      </c>
      <c r="I39" s="243">
        <f>IF(A39&lt;&gt;"",IF(I$15="",VLOOKUP(A39,'DOE Fuel Esc Rates'!$T$9:$W$38,3,TRUE),I$15),"")</f>
        <v>4.8825144949649069E-3</v>
      </c>
      <c r="J39" s="243">
        <f>((1+I39)*(1+'General Data'!$M$25))-1</f>
        <v>5.8873970094597272E-3</v>
      </c>
      <c r="K39" s="253">
        <f t="shared" si="11"/>
        <v>644770.85569940018</v>
      </c>
      <c r="L39" s="253">
        <f t="shared" si="1"/>
        <v>305048.10990412981</v>
      </c>
      <c r="M39" s="241">
        <f t="shared" si="2"/>
        <v>317184.53612702864</v>
      </c>
      <c r="N39" s="242">
        <f>IF($A39&lt;=$N$4,N$15*'General Data'!$S31,"")</f>
        <v>25620</v>
      </c>
      <c r="O39" s="243">
        <f>IF(A39&lt;&gt;"",IF(O$15="",VLOOKUP(A39,'DOE Fuel Esc Rates'!$T$9:$W$38,4,TRUE),O$15),"")</f>
        <v>2.6058631921824116E-2</v>
      </c>
      <c r="P39" s="243">
        <f>((1+O39)*(1+'General Data'!$M$25))-1</f>
        <v>2.7084690553745849E-2</v>
      </c>
      <c r="Q39" s="253">
        <f t="shared" si="12"/>
        <v>36352.702702702707</v>
      </c>
      <c r="R39" s="253">
        <f t="shared" si="3"/>
        <v>12603.342325018231</v>
      </c>
      <c r="S39" s="241">
        <f t="shared" si="4"/>
        <v>17883.120866579928</v>
      </c>
      <c r="T39" s="242">
        <f t="shared" si="5"/>
        <v>0</v>
      </c>
      <c r="U39" s="245">
        <f t="shared" si="6"/>
        <v>0</v>
      </c>
      <c r="V39" s="246">
        <f>IF($A39&lt;=$N$4,VLOOKUP(A39,'DOE Fuel Esc Rates'!$T$9:$W$38,2,TRUE),"")</f>
        <v>2038</v>
      </c>
      <c r="W39" s="247">
        <f t="shared" si="7"/>
        <v>681123.55840210291</v>
      </c>
      <c r="X39" s="241">
        <f t="shared" si="8"/>
        <v>335067.65699360857</v>
      </c>
      <c r="Y39" s="248">
        <f>IF(A39&lt;&gt;"",SUM(X$15:X39),"")</f>
        <v>11781193.082798434</v>
      </c>
      <c r="Z39" s="249">
        <f>IF(A39&lt;&gt;"",LCC0!Y39-Y39,"")</f>
        <v>195740.97427954152</v>
      </c>
      <c r="AA39" s="312" t="str">
        <f>IF(A39&lt;&gt;"",IF(Z39&gt;0,IF(SUM(AA$16:AA38)=0,A38+(-Z38)/(Z39-Z38),""),""),"")</f>
        <v/>
      </c>
      <c r="AB39" s="198"/>
      <c r="AC39" s="251">
        <f t="shared" si="9"/>
        <v>681123.55840210291</v>
      </c>
      <c r="AE39" s="198"/>
    </row>
    <row r="40" spans="1:31" x14ac:dyDescent="0.2">
      <c r="A40" s="176">
        <f t="shared" si="13"/>
        <v>25</v>
      </c>
      <c r="B40" s="56" t="s">
        <v>52</v>
      </c>
      <c r="C40" s="51">
        <v>0</v>
      </c>
      <c r="D40" s="252">
        <f t="shared" si="10"/>
        <v>0</v>
      </c>
      <c r="E40" s="56"/>
      <c r="F40" s="51">
        <v>0</v>
      </c>
      <c r="G40" s="241">
        <f t="shared" si="0"/>
        <v>0</v>
      </c>
      <c r="H40" s="242">
        <f>IF($A40&lt;=$N$4,H$15*'General Data'!$S32,"")</f>
        <v>620100</v>
      </c>
      <c r="I40" s="243">
        <f>IF(A40&lt;&gt;"",IF(I$15="",VLOOKUP(A40,'DOE Fuel Esc Rates'!$T$9:$W$38,3,TRUE),I$15),"")</f>
        <v>5.1624658366231646E-3</v>
      </c>
      <c r="J40" s="243">
        <f>((1+I40)*(1+'General Data'!$M$25))-1</f>
        <v>6.167628302459649E-3</v>
      </c>
      <c r="K40" s="253">
        <f t="shared" si="11"/>
        <v>648099.46321439859</v>
      </c>
      <c r="L40" s="253">
        <f t="shared" si="1"/>
        <v>296163.21349915519</v>
      </c>
      <c r="M40" s="241">
        <f t="shared" si="2"/>
        <v>309535.91306668893</v>
      </c>
      <c r="N40" s="242">
        <f>IF($A40&lt;=$N$4,N$15*'General Data'!$S32,"")</f>
        <v>25620</v>
      </c>
      <c r="O40" s="243">
        <f>IF(A40&lt;&gt;"",IF(O$15="",VLOOKUP(A40,'DOE Fuel Esc Rates'!$T$9:$W$38,4,TRUE),O$15),"")</f>
        <v>2.4603174603174738E-2</v>
      </c>
      <c r="P40" s="243">
        <f>((1+O40)*(1+'General Data'!$M$25))-1</f>
        <v>2.5627777777777805E-2</v>
      </c>
      <c r="Q40" s="253">
        <f t="shared" si="12"/>
        <v>37247.0945945946</v>
      </c>
      <c r="R40" s="253">
        <f t="shared" si="3"/>
        <v>12236.25468448372</v>
      </c>
      <c r="S40" s="241">
        <f t="shared" si="4"/>
        <v>17789.419817194241</v>
      </c>
      <c r="T40" s="242">
        <f t="shared" si="5"/>
        <v>0</v>
      </c>
      <c r="U40" s="245">
        <f t="shared" si="6"/>
        <v>0</v>
      </c>
      <c r="V40" s="246">
        <f>IF($A40&lt;=$N$4,VLOOKUP(A40,'DOE Fuel Esc Rates'!$T$9:$W$38,2,TRUE),"")</f>
        <v>2039</v>
      </c>
      <c r="W40" s="247">
        <f t="shared" si="7"/>
        <v>685346.55780899315</v>
      </c>
      <c r="X40" s="241">
        <f t="shared" si="8"/>
        <v>327325.33288388315</v>
      </c>
      <c r="Y40" s="248">
        <f>IF(A40&lt;&gt;"",SUM(X$15:X40),"")</f>
        <v>12108518.415682318</v>
      </c>
      <c r="Z40" s="249">
        <f>IF(A40&lt;&gt;"",LCC0!Y40-Y40,"")</f>
        <v>213607.64776252396</v>
      </c>
      <c r="AA40" s="312" t="str">
        <f>IF(A40&lt;&gt;"",IF(Z40&gt;0,IF(SUM(AA$16:AA39)=0,A39+(-Z39)/(Z40-Z39),""),""),"")</f>
        <v/>
      </c>
      <c r="AB40" s="198"/>
      <c r="AC40" s="251">
        <f t="shared" si="9"/>
        <v>685346.55780899315</v>
      </c>
      <c r="AE40" s="198"/>
    </row>
    <row r="41" spans="1:31" s="124" customFormat="1" ht="11.25" customHeight="1" thickBot="1" x14ac:dyDescent="0.25">
      <c r="A41" s="254"/>
      <c r="B41" s="255"/>
      <c r="C41" s="256"/>
      <c r="D41" s="257"/>
      <c r="E41" s="256"/>
      <c r="F41" s="256"/>
      <c r="G41" s="258"/>
      <c r="H41" s="259"/>
      <c r="I41" s="260"/>
      <c r="J41" s="260"/>
      <c r="K41" s="253"/>
      <c r="L41" s="253"/>
      <c r="M41" s="241"/>
      <c r="N41" s="261"/>
      <c r="O41" s="260"/>
      <c r="P41" s="260"/>
      <c r="Q41" s="260"/>
      <c r="R41" s="253"/>
      <c r="S41" s="241"/>
      <c r="T41" s="251"/>
      <c r="U41" s="258"/>
      <c r="V41" s="129"/>
      <c r="W41" s="129"/>
      <c r="X41" s="262"/>
      <c r="Y41" s="263"/>
      <c r="Z41" s="264"/>
      <c r="AA41" s="265"/>
    </row>
    <row r="42" spans="1:31" s="124" customFormat="1" ht="2.25" customHeight="1" x14ac:dyDescent="0.2">
      <c r="A42" s="266"/>
      <c r="B42" s="267"/>
      <c r="C42" s="267"/>
      <c r="D42" s="268"/>
      <c r="E42" s="267"/>
      <c r="F42" s="267"/>
      <c r="G42" s="269"/>
      <c r="H42" s="270"/>
      <c r="I42" s="271"/>
      <c r="J42" s="271"/>
      <c r="K42" s="271"/>
      <c r="L42" s="271"/>
      <c r="M42" s="272"/>
      <c r="N42" s="271"/>
      <c r="O42" s="271"/>
      <c r="P42" s="271"/>
      <c r="Q42" s="271"/>
      <c r="R42" s="271"/>
      <c r="S42" s="272"/>
      <c r="T42" s="273"/>
      <c r="U42" s="269"/>
      <c r="V42" s="273"/>
      <c r="W42" s="273"/>
      <c r="X42" s="269"/>
      <c r="Y42" s="274"/>
      <c r="Z42" s="273"/>
      <c r="AA42" s="275"/>
    </row>
    <row r="43" spans="1:31" s="289" customFormat="1" x14ac:dyDescent="0.2">
      <c r="A43" s="276"/>
      <c r="B43" s="277"/>
      <c r="C43" s="278">
        <f>SUM(C15:C40)</f>
        <v>482040</v>
      </c>
      <c r="D43" s="279">
        <f>+SUM(D15:D40)</f>
        <v>482040</v>
      </c>
      <c r="E43" s="278"/>
      <c r="F43" s="278">
        <f>SUM(F15:F40)</f>
        <v>0</v>
      </c>
      <c r="G43" s="280">
        <f>+SUM(G15:G40)</f>
        <v>0</v>
      </c>
      <c r="H43" s="281">
        <f>SUM(H16:H40)</f>
        <v>15502500</v>
      </c>
      <c r="I43" s="129"/>
      <c r="J43" s="129"/>
      <c r="K43" s="282">
        <f>SUM(K16:K40)</f>
        <v>15922491.948215976</v>
      </c>
      <c r="L43" s="282">
        <f>SUM(L16:L40)</f>
        <v>10797892.883361502</v>
      </c>
      <c r="M43" s="280">
        <f>+SUM(M16:M40)</f>
        <v>11090602.992054977</v>
      </c>
      <c r="N43" s="281">
        <f>SUM(N16:N40)</f>
        <v>640500</v>
      </c>
      <c r="O43" s="283"/>
      <c r="P43" s="129"/>
      <c r="Q43" s="282">
        <f>SUM(Q16:Q40)</f>
        <v>785362.63513513515</v>
      </c>
      <c r="R43" s="282">
        <f>SUM(R16:R40)</f>
        <v>446124.84385054291</v>
      </c>
      <c r="S43" s="280">
        <f>+SUM(S16:S40)</f>
        <v>535875.42362733744</v>
      </c>
      <c r="T43" s="281">
        <f>SUM(T16:T40)</f>
        <v>0</v>
      </c>
      <c r="U43" s="284">
        <f>+SUM(U16:U40)</f>
        <v>0</v>
      </c>
      <c r="V43" s="283"/>
      <c r="W43" s="285">
        <f>SUM(W15:W40)</f>
        <v>17189894.583351109</v>
      </c>
      <c r="X43" s="284">
        <f>+SUM(X15:X40)</f>
        <v>12108518.415682318</v>
      </c>
      <c r="Y43" s="286">
        <f>X43</f>
        <v>12108518.415682318</v>
      </c>
      <c r="Z43" s="287" t="s">
        <v>49</v>
      </c>
      <c r="AA43" s="313">
        <f>IF(SUM(AA16:AA40)&gt;0,SUM(AA16:AA40),"&gt;"&amp;T4)</f>
        <v>14.471054244669748</v>
      </c>
      <c r="AC43" s="289">
        <f>+SUM(AC15:AC40)</f>
        <v>16707854.583351109</v>
      </c>
    </row>
    <row r="44" spans="1:31" s="124" customFormat="1" ht="5.25" customHeight="1" thickBot="1" x14ac:dyDescent="0.25">
      <c r="A44" s="290"/>
      <c r="B44" s="291"/>
      <c r="C44" s="291"/>
      <c r="D44" s="292"/>
      <c r="E44" s="291"/>
      <c r="F44" s="291"/>
      <c r="G44" s="293"/>
      <c r="H44" s="291"/>
      <c r="I44" s="294"/>
      <c r="J44" s="294"/>
      <c r="K44" s="294"/>
      <c r="L44" s="294"/>
      <c r="M44" s="293"/>
      <c r="N44" s="294"/>
      <c r="O44" s="294"/>
      <c r="P44" s="294"/>
      <c r="Q44" s="294"/>
      <c r="R44" s="294"/>
      <c r="S44" s="293"/>
      <c r="T44" s="294"/>
      <c r="U44" s="293"/>
      <c r="V44" s="294"/>
      <c r="W44" s="294"/>
      <c r="X44" s="293"/>
      <c r="Y44" s="295"/>
      <c r="Z44" s="294"/>
      <c r="AA44" s="293"/>
    </row>
    <row r="45" spans="1:31" s="124" customFormat="1" ht="6" customHeight="1" x14ac:dyDescent="0.2">
      <c r="A45" s="129"/>
      <c r="B45" s="296"/>
      <c r="C45" s="296"/>
      <c r="D45" s="296"/>
      <c r="E45" s="296"/>
      <c r="F45" s="74"/>
      <c r="G45" s="74"/>
      <c r="H45" s="296"/>
      <c r="I45" s="74"/>
      <c r="J45" s="74"/>
      <c r="K45" s="74"/>
      <c r="L45" s="74"/>
      <c r="M45" s="74"/>
      <c r="N45" s="74"/>
      <c r="O45" s="74"/>
      <c r="P45" s="74"/>
      <c r="Q45" s="74"/>
      <c r="R45" s="74"/>
      <c r="S45" s="74"/>
      <c r="T45" s="74"/>
      <c r="U45" s="74"/>
      <c r="V45" s="74"/>
      <c r="W45" s="74"/>
      <c r="X45" s="74"/>
      <c r="AA45" s="141"/>
    </row>
    <row r="46" spans="1:31" x14ac:dyDescent="0.2">
      <c r="B46" s="297" t="s">
        <v>53</v>
      </c>
      <c r="C46" s="298" t="s">
        <v>1</v>
      </c>
      <c r="I46" s="299"/>
      <c r="J46" s="299"/>
      <c r="M46" s="251"/>
      <c r="P46" s="299"/>
      <c r="S46" s="300"/>
      <c r="U46" s="301"/>
      <c r="X46" s="302"/>
    </row>
    <row r="47" spans="1:31" x14ac:dyDescent="0.2">
      <c r="C47" s="304" t="s">
        <v>201</v>
      </c>
      <c r="M47" s="251"/>
      <c r="X47" s="302"/>
    </row>
    <row r="48" spans="1:31" x14ac:dyDescent="0.2">
      <c r="L48" s="305"/>
      <c r="X48" s="302"/>
    </row>
    <row r="49" spans="8:24" x14ac:dyDescent="0.2">
      <c r="H49" s="306"/>
      <c r="L49" s="305"/>
      <c r="M49" s="251"/>
    </row>
    <row r="50" spans="8:24" x14ac:dyDescent="0.2">
      <c r="H50" s="255"/>
      <c r="M50" s="251"/>
      <c r="X50" s="307"/>
    </row>
    <row r="51" spans="8:24" x14ac:dyDescent="0.2">
      <c r="M51" s="308"/>
      <c r="X51" s="309"/>
    </row>
    <row r="52" spans="8:24" x14ac:dyDescent="0.2">
      <c r="H52" s="306"/>
      <c r="M52" s="308"/>
    </row>
    <row r="53" spans="8:24" x14ac:dyDescent="0.2">
      <c r="H53" s="306"/>
    </row>
    <row r="54" spans="8:24" x14ac:dyDescent="0.2">
      <c r="H54" s="310"/>
    </row>
    <row r="56" spans="8:24" x14ac:dyDescent="0.2">
      <c r="H56" s="311"/>
      <c r="M56" s="307"/>
    </row>
  </sheetData>
  <phoneticPr fontId="0" type="noConversion"/>
  <printOptions horizontalCentered="1"/>
  <pageMargins left="0.35" right="0.35" top="0.75" bottom="0.75" header="0.5" footer="0.5"/>
  <pageSetup paperSize="4" scale="70" orientation="landscape" horizontalDpi="4294967292"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AE56"/>
  <sheetViews>
    <sheetView zoomScale="80" workbookViewId="0">
      <pane xSplit="1" topLeftCell="B1" activePane="topRight" state="frozenSplit"/>
      <selection activeCell="B4" sqref="B4"/>
      <selection pane="topRight" activeCell="B4" sqref="B4"/>
    </sheetView>
  </sheetViews>
  <sheetFormatPr defaultRowHeight="12.75" x14ac:dyDescent="0.2"/>
  <cols>
    <col min="1" max="1" width="4.5703125" style="129" customWidth="1"/>
    <col min="2" max="3" width="12" style="296" customWidth="1"/>
    <col min="4" max="5" width="10.7109375" style="296" customWidth="1"/>
    <col min="6" max="7" width="11.140625" style="74" customWidth="1"/>
    <col min="8" max="8" width="12.5703125" style="296" customWidth="1"/>
    <col min="9" max="9" width="10.28515625" style="74" customWidth="1"/>
    <col min="10" max="10" width="10.28515625" style="74" hidden="1" customWidth="1"/>
    <col min="11" max="12" width="13.42578125" style="74" hidden="1" customWidth="1"/>
    <col min="13" max="13" width="14.7109375" style="74" customWidth="1"/>
    <col min="14" max="14" width="10.5703125" style="74" customWidth="1"/>
    <col min="15" max="15" width="11" style="74" customWidth="1"/>
    <col min="16" max="16" width="10.28515625" style="74" hidden="1" customWidth="1"/>
    <col min="17" max="17" width="11" style="74" hidden="1" customWidth="1"/>
    <col min="18" max="18" width="12.140625" style="74" hidden="1" customWidth="1"/>
    <col min="19" max="19" width="12" style="74" customWidth="1"/>
    <col min="20" max="20" width="11.28515625" style="74" customWidth="1"/>
    <col min="21" max="21" width="12.7109375" style="74" customWidth="1"/>
    <col min="22" max="22" width="6" style="74" customWidth="1"/>
    <col min="23" max="23" width="15.28515625" style="74" hidden="1" customWidth="1"/>
    <col min="24" max="24" width="16" style="74" customWidth="1"/>
    <col min="25" max="25" width="14.5703125" style="74" customWidth="1"/>
    <col min="26" max="26" width="14.42578125" style="74" customWidth="1"/>
    <col min="27" max="27" width="11.85546875" style="303" customWidth="1"/>
    <col min="28" max="28" width="9.140625" style="74"/>
    <col min="29" max="29" width="10" style="74" hidden="1" customWidth="1"/>
    <col min="30" max="16384" width="9.140625" style="74"/>
  </cols>
  <sheetData>
    <row r="1" spans="1:31" s="124" customFormat="1" ht="13.5" thickBot="1" x14ac:dyDescent="0.25">
      <c r="A1" s="139"/>
      <c r="B1" s="140"/>
      <c r="C1" s="140"/>
      <c r="D1" s="140"/>
      <c r="E1" s="140"/>
      <c r="H1" s="140"/>
      <c r="AA1" s="141"/>
    </row>
    <row r="2" spans="1:31" ht="5.25" customHeight="1" thickTop="1" x14ac:dyDescent="0.2">
      <c r="A2" s="142"/>
      <c r="B2" s="143"/>
      <c r="C2" s="143"/>
      <c r="D2" s="143"/>
      <c r="E2" s="143"/>
      <c r="F2" s="143"/>
      <c r="G2" s="143"/>
      <c r="H2" s="144"/>
      <c r="I2" s="144"/>
      <c r="J2" s="144"/>
      <c r="K2" s="144"/>
      <c r="L2" s="144"/>
      <c r="M2" s="144"/>
      <c r="N2" s="144"/>
      <c r="O2" s="144"/>
      <c r="P2" s="144"/>
      <c r="Q2" s="144"/>
      <c r="R2" s="144"/>
      <c r="S2" s="144"/>
      <c r="T2" s="144"/>
      <c r="U2" s="144"/>
      <c r="V2" s="144"/>
      <c r="W2" s="144"/>
      <c r="X2" s="145"/>
      <c r="Y2" s="146"/>
      <c r="Z2" s="144"/>
      <c r="AA2" s="145"/>
    </row>
    <row r="3" spans="1:31" ht="15.75" x14ac:dyDescent="0.25">
      <c r="A3" s="147"/>
      <c r="B3" s="69" t="s">
        <v>234</v>
      </c>
      <c r="C3" s="69"/>
      <c r="D3" s="148"/>
      <c r="E3" s="148"/>
      <c r="G3" s="149" t="s">
        <v>190</v>
      </c>
      <c r="H3" s="150" t="str">
        <f>'General Data'!A12&amp;"/"&amp;'General Data'!H12</f>
        <v>4/2015</v>
      </c>
      <c r="M3" s="151" t="s">
        <v>193</v>
      </c>
      <c r="N3" s="152">
        <f>N4-H4</f>
        <v>25</v>
      </c>
      <c r="R3" s="153"/>
      <c r="S3" s="149" t="s">
        <v>11</v>
      </c>
      <c r="T3" s="154">
        <f>'General Data'!H10</f>
        <v>2015</v>
      </c>
      <c r="V3" s="149" t="s">
        <v>12</v>
      </c>
      <c r="W3" s="149"/>
      <c r="X3" s="155" t="str">
        <f>IF('General Data'!$H$21=1,"Northeast",IF('General Data'!$H$21=2,"Midwest",IF('General Data'!$H$21=3,"South",IF('General Data'!$H$21=4,"West",IF('General Data'!$H$21=5,"United States Average","error")))))</f>
        <v>West</v>
      </c>
      <c r="Y3" s="156"/>
      <c r="Z3" s="157"/>
      <c r="AA3" s="155"/>
    </row>
    <row r="4" spans="1:31" ht="15.75" x14ac:dyDescent="0.25">
      <c r="A4" s="147"/>
      <c r="B4" s="69" t="s">
        <v>235</v>
      </c>
      <c r="C4" s="69"/>
      <c r="D4" s="148"/>
      <c r="E4" s="148"/>
      <c r="G4" s="158" t="s">
        <v>195</v>
      </c>
      <c r="H4" s="159">
        <f>'General Data'!H13-'General Data'!H12</f>
        <v>0</v>
      </c>
      <c r="M4" s="151" t="s">
        <v>194</v>
      </c>
      <c r="N4" s="160">
        <f>'General Data'!$H$18</f>
        <v>25</v>
      </c>
      <c r="R4" s="153"/>
      <c r="S4" s="151" t="s">
        <v>255</v>
      </c>
      <c r="T4" s="161">
        <f>'General Data'!H15</f>
        <v>0.03</v>
      </c>
      <c r="V4" s="149" t="s">
        <v>13</v>
      </c>
      <c r="W4" s="149"/>
      <c r="X4" s="155" t="str">
        <f>IF('General Data'!$H$24=1,"Residential",IF('General Data'!$H$24=2,"Commercial",IF('General Data'!$H$24=3,"Industrial","error")))</f>
        <v>Commercial</v>
      </c>
      <c r="Y4" s="156"/>
      <c r="Z4" s="157"/>
      <c r="AA4" s="155"/>
    </row>
    <row r="5" spans="1:31" ht="17.25" customHeight="1" thickBot="1" x14ac:dyDescent="0.25">
      <c r="A5" s="162"/>
      <c r="B5" s="163"/>
      <c r="C5" s="163"/>
      <c r="D5" s="163"/>
      <c r="E5" s="163"/>
      <c r="F5" s="163"/>
      <c r="G5" s="163"/>
      <c r="H5" s="163"/>
      <c r="I5" s="164"/>
      <c r="J5" s="164"/>
      <c r="K5" s="164"/>
      <c r="L5" s="164"/>
      <c r="M5" s="164"/>
      <c r="N5" s="164"/>
      <c r="O5" s="164"/>
      <c r="P5" s="164"/>
      <c r="Q5" s="164"/>
      <c r="R5" s="164"/>
      <c r="S5" s="350" t="s">
        <v>254</v>
      </c>
      <c r="T5" s="351">
        <f>'General Data'!H16</f>
        <v>0.03</v>
      </c>
      <c r="U5" s="164"/>
      <c r="V5" s="164"/>
      <c r="W5" s="164"/>
      <c r="X5" s="165"/>
      <c r="Y5" s="166"/>
      <c r="Z5" s="164"/>
      <c r="AA5" s="165"/>
    </row>
    <row r="6" spans="1:31" ht="5.25" customHeight="1" thickTop="1" x14ac:dyDescent="0.2">
      <c r="A6" s="167"/>
      <c r="B6" s="168"/>
      <c r="C6" s="168"/>
      <c r="D6" s="168"/>
      <c r="E6" s="168"/>
      <c r="F6" s="169"/>
      <c r="G6" s="170"/>
      <c r="H6" s="171"/>
      <c r="I6" s="172"/>
      <c r="J6" s="172"/>
      <c r="K6" s="172"/>
      <c r="L6" s="173"/>
      <c r="M6" s="174"/>
      <c r="N6" s="172"/>
      <c r="O6" s="172"/>
      <c r="P6" s="172"/>
      <c r="Q6" s="172"/>
      <c r="R6" s="173"/>
      <c r="S6" s="174"/>
      <c r="T6" s="172"/>
      <c r="U6" s="170"/>
      <c r="X6" s="174"/>
      <c r="Y6" s="175"/>
      <c r="Z6" s="124"/>
      <c r="AA6" s="174"/>
    </row>
    <row r="7" spans="1:31" x14ac:dyDescent="0.2">
      <c r="A7" s="176"/>
      <c r="B7" s="177" t="s">
        <v>14</v>
      </c>
      <c r="C7" s="177"/>
      <c r="D7" s="177"/>
      <c r="E7" s="177"/>
      <c r="F7" s="178"/>
      <c r="G7" s="179"/>
      <c r="H7" s="180" t="s">
        <v>15</v>
      </c>
      <c r="I7" s="181"/>
      <c r="J7" s="181"/>
      <c r="K7" s="181"/>
      <c r="L7" s="182"/>
      <c r="M7" s="183"/>
      <c r="N7" s="180" t="str">
        <f>IF('General Data'!$H$27=1,"NATURAL GAS COSTS",IF('General Data'!$H$27=2,"LPG FUEL COSTS",IF('General Data'!$H$27=3,"DISTILATE FUEL OIL COSTS",IF('General Data'!$H$27=4,"RESIDUAL FUEL OIL COSTS",IF('General Data'!$H$27=5,"COAL COSTS",IF('General Data'!$H$27=0,"NO 2ND FUEL USED","error?"))))))</f>
        <v>NATURAL GAS COSTS</v>
      </c>
      <c r="O7" s="181"/>
      <c r="P7" s="181"/>
      <c r="Q7" s="181"/>
      <c r="R7" s="182"/>
      <c r="S7" s="183"/>
      <c r="T7" s="180" t="s">
        <v>16</v>
      </c>
      <c r="U7" s="179"/>
      <c r="V7" s="180" t="s">
        <v>17</v>
      </c>
      <c r="W7" s="180"/>
      <c r="X7" s="183"/>
      <c r="Y7" s="184" t="s">
        <v>151</v>
      </c>
      <c r="Z7" s="177"/>
      <c r="AA7" s="185"/>
    </row>
    <row r="8" spans="1:31" x14ac:dyDescent="0.2">
      <c r="A8" s="176"/>
      <c r="B8" s="177"/>
      <c r="C8" s="177"/>
      <c r="D8" s="177"/>
      <c r="E8" s="177"/>
      <c r="F8" s="178"/>
      <c r="G8" s="179"/>
      <c r="H8" s="180" t="s">
        <v>18</v>
      </c>
      <c r="I8" s="181"/>
      <c r="J8" s="181"/>
      <c r="K8" s="181"/>
      <c r="L8" s="182"/>
      <c r="M8" s="183"/>
      <c r="N8" s="180" t="s">
        <v>18</v>
      </c>
      <c r="O8" s="181"/>
      <c r="P8" s="181"/>
      <c r="Q8" s="181"/>
      <c r="R8" s="182"/>
      <c r="S8" s="183"/>
      <c r="T8" s="180" t="s">
        <v>19</v>
      </c>
      <c r="U8" s="179"/>
      <c r="V8" s="180" t="s">
        <v>18</v>
      </c>
      <c r="W8" s="180"/>
      <c r="X8" s="186"/>
      <c r="Y8" s="187" t="s">
        <v>20</v>
      </c>
      <c r="Z8" s="188" t="s">
        <v>21</v>
      </c>
      <c r="AA8" s="189" t="s">
        <v>54</v>
      </c>
      <c r="AC8" s="190" t="s">
        <v>61</v>
      </c>
    </row>
    <row r="9" spans="1:31" ht="6" customHeight="1" x14ac:dyDescent="0.2">
      <c r="A9" s="176"/>
      <c r="B9" s="177"/>
      <c r="C9" s="177"/>
      <c r="D9" s="177"/>
      <c r="E9" s="177"/>
      <c r="F9" s="178"/>
      <c r="G9" s="179"/>
      <c r="H9" s="180"/>
      <c r="I9" s="181"/>
      <c r="J9" s="181"/>
      <c r="K9" s="181"/>
      <c r="L9" s="182"/>
      <c r="M9" s="183"/>
      <c r="N9" s="180"/>
      <c r="O9" s="181"/>
      <c r="P9" s="181"/>
      <c r="Q9" s="181"/>
      <c r="R9" s="182"/>
      <c r="S9" s="183"/>
      <c r="T9" s="180"/>
      <c r="U9" s="179"/>
      <c r="V9" s="180"/>
      <c r="W9" s="180"/>
      <c r="X9" s="183"/>
      <c r="Y9" s="191"/>
      <c r="Z9" s="192"/>
      <c r="AA9" s="183"/>
      <c r="AC9" s="190"/>
    </row>
    <row r="10" spans="1:31" s="198" customFormat="1" x14ac:dyDescent="0.2">
      <c r="A10" s="176"/>
      <c r="B10" s="153"/>
      <c r="C10" s="193" t="s">
        <v>22</v>
      </c>
      <c r="D10" s="193"/>
      <c r="E10" s="193"/>
      <c r="F10" s="188" t="s">
        <v>23</v>
      </c>
      <c r="G10" s="170"/>
      <c r="H10" s="194" t="s">
        <v>24</v>
      </c>
      <c r="I10" s="194" t="str">
        <f>'DOE Fuel Esc Rates'!H8</f>
        <v>Electric</v>
      </c>
      <c r="J10" s="194" t="str">
        <f>I10</f>
        <v>Electric</v>
      </c>
      <c r="K10" s="194" t="s">
        <v>25</v>
      </c>
      <c r="L10" s="173" t="s">
        <v>26</v>
      </c>
      <c r="M10" s="195" t="s">
        <v>26</v>
      </c>
      <c r="N10" s="194" t="s">
        <v>24</v>
      </c>
      <c r="O10" s="194" t="str">
        <f>'DOE Fuel Esc Rates'!$W$5</f>
        <v>Nat Gas</v>
      </c>
      <c r="P10" s="194" t="str">
        <f>O10</f>
        <v>Nat Gas</v>
      </c>
      <c r="Q10" s="194" t="s">
        <v>25</v>
      </c>
      <c r="R10" s="173" t="s">
        <v>26</v>
      </c>
      <c r="S10" s="195" t="s">
        <v>26</v>
      </c>
      <c r="T10" s="194" t="s">
        <v>24</v>
      </c>
      <c r="U10" s="195" t="s">
        <v>26</v>
      </c>
      <c r="V10" s="172"/>
      <c r="W10" s="194" t="s">
        <v>173</v>
      </c>
      <c r="X10" s="195" t="s">
        <v>26</v>
      </c>
      <c r="Y10" s="196" t="s">
        <v>26</v>
      </c>
      <c r="Z10" s="197" t="s">
        <v>26</v>
      </c>
      <c r="AA10" s="195"/>
      <c r="AB10" s="74"/>
      <c r="AC10" s="190" t="s">
        <v>173</v>
      </c>
    </row>
    <row r="11" spans="1:31" s="198" customFormat="1" x14ac:dyDescent="0.2">
      <c r="A11" s="176"/>
      <c r="B11" s="199"/>
      <c r="C11" s="200" t="s">
        <v>27</v>
      </c>
      <c r="D11" s="201"/>
      <c r="E11" s="201"/>
      <c r="F11" s="200" t="s">
        <v>28</v>
      </c>
      <c r="G11" s="179"/>
      <c r="H11" s="194" t="s">
        <v>29</v>
      </c>
      <c r="I11" s="194" t="s">
        <v>30</v>
      </c>
      <c r="J11" s="194" t="s">
        <v>200</v>
      </c>
      <c r="K11" s="173" t="s">
        <v>31</v>
      </c>
      <c r="L11" s="173" t="s">
        <v>31</v>
      </c>
      <c r="M11" s="195" t="s">
        <v>32</v>
      </c>
      <c r="N11" s="194" t="s">
        <v>29</v>
      </c>
      <c r="O11" s="194" t="s">
        <v>30</v>
      </c>
      <c r="P11" s="194" t="s">
        <v>200</v>
      </c>
      <c r="Q11" s="173" t="s">
        <v>31</v>
      </c>
      <c r="R11" s="173" t="s">
        <v>31</v>
      </c>
      <c r="S11" s="195" t="str">
        <f>O10</f>
        <v>Nat Gas</v>
      </c>
      <c r="T11" s="194" t="s">
        <v>29</v>
      </c>
      <c r="U11" s="202" t="s">
        <v>29</v>
      </c>
      <c r="V11" s="172"/>
      <c r="W11" s="203" t="s">
        <v>34</v>
      </c>
      <c r="X11" s="202" t="s">
        <v>34</v>
      </c>
      <c r="Y11" s="204" t="s">
        <v>152</v>
      </c>
      <c r="Z11" s="203" t="s">
        <v>152</v>
      </c>
      <c r="AA11" s="202" t="s">
        <v>26</v>
      </c>
      <c r="AC11" s="190" t="s">
        <v>182</v>
      </c>
    </row>
    <row r="12" spans="1:31" s="198" customFormat="1" x14ac:dyDescent="0.2">
      <c r="A12" s="176" t="s">
        <v>41</v>
      </c>
      <c r="B12" s="205" t="s">
        <v>35</v>
      </c>
      <c r="C12" s="206"/>
      <c r="D12" s="207" t="s">
        <v>26</v>
      </c>
      <c r="E12" s="205" t="s">
        <v>35</v>
      </c>
      <c r="F12" s="206"/>
      <c r="G12" s="208" t="s">
        <v>26</v>
      </c>
      <c r="H12" s="173" t="s">
        <v>32</v>
      </c>
      <c r="I12" s="194" t="s">
        <v>36</v>
      </c>
      <c r="J12" s="194" t="s">
        <v>36</v>
      </c>
      <c r="K12" s="173" t="s">
        <v>37</v>
      </c>
      <c r="L12" s="173" t="s">
        <v>38</v>
      </c>
      <c r="M12" s="209" t="s">
        <v>39</v>
      </c>
      <c r="N12" s="194" t="str">
        <f>O10</f>
        <v>Nat Gas</v>
      </c>
      <c r="O12" s="194" t="s">
        <v>36</v>
      </c>
      <c r="P12" s="194" t="s">
        <v>36</v>
      </c>
      <c r="Q12" s="173" t="s">
        <v>37</v>
      </c>
      <c r="R12" s="173" t="s">
        <v>38</v>
      </c>
      <c r="S12" s="209" t="s">
        <v>39</v>
      </c>
      <c r="T12" s="210" t="s">
        <v>40</v>
      </c>
      <c r="U12" s="179"/>
      <c r="V12" s="194" t="s">
        <v>41</v>
      </c>
      <c r="W12" s="203" t="s">
        <v>42</v>
      </c>
      <c r="X12" s="202" t="s">
        <v>42</v>
      </c>
      <c r="Y12" s="204" t="s">
        <v>42</v>
      </c>
      <c r="Z12" s="203" t="s">
        <v>43</v>
      </c>
      <c r="AA12" s="211" t="s">
        <v>54</v>
      </c>
      <c r="AC12" s="190" t="s">
        <v>42</v>
      </c>
    </row>
    <row r="13" spans="1:31" s="198" customFormat="1" x14ac:dyDescent="0.2">
      <c r="A13" s="176" t="s">
        <v>188</v>
      </c>
      <c r="B13" s="212" t="s">
        <v>44</v>
      </c>
      <c r="C13" s="213" t="s">
        <v>45</v>
      </c>
      <c r="D13" s="214" t="s">
        <v>46</v>
      </c>
      <c r="E13" s="212" t="s">
        <v>44</v>
      </c>
      <c r="F13" s="213" t="s">
        <v>45</v>
      </c>
      <c r="G13" s="211" t="s">
        <v>46</v>
      </c>
      <c r="H13" s="212" t="s">
        <v>45</v>
      </c>
      <c r="I13" s="215" t="s">
        <v>47</v>
      </c>
      <c r="J13" s="215" t="s">
        <v>47</v>
      </c>
      <c r="K13" s="216" t="s">
        <v>46</v>
      </c>
      <c r="L13" s="216" t="s">
        <v>46</v>
      </c>
      <c r="M13" s="211" t="s">
        <v>46</v>
      </c>
      <c r="N13" s="215" t="s">
        <v>45</v>
      </c>
      <c r="O13" s="215" t="s">
        <v>47</v>
      </c>
      <c r="P13" s="215" t="s">
        <v>47</v>
      </c>
      <c r="Q13" s="216" t="s">
        <v>46</v>
      </c>
      <c r="R13" s="216" t="s">
        <v>46</v>
      </c>
      <c r="S13" s="211" t="s">
        <v>46</v>
      </c>
      <c r="T13" s="215" t="s">
        <v>45</v>
      </c>
      <c r="U13" s="211" t="s">
        <v>46</v>
      </c>
      <c r="V13" s="194" t="s">
        <v>186</v>
      </c>
      <c r="W13" s="213" t="s">
        <v>174</v>
      </c>
      <c r="X13" s="211" t="s">
        <v>46</v>
      </c>
      <c r="Y13" s="217" t="s">
        <v>46</v>
      </c>
      <c r="Z13" s="218" t="s">
        <v>46</v>
      </c>
      <c r="AA13" s="219" t="s">
        <v>55</v>
      </c>
    </row>
    <row r="14" spans="1:31" ht="3.75" customHeight="1" x14ac:dyDescent="0.2">
      <c r="A14" s="220"/>
      <c r="B14" s="221"/>
      <c r="C14" s="222"/>
      <c r="D14" s="223"/>
      <c r="E14" s="221"/>
      <c r="F14" s="222"/>
      <c r="G14" s="224"/>
      <c r="H14" s="221"/>
      <c r="I14" s="129"/>
      <c r="J14" s="129"/>
      <c r="K14" s="129"/>
      <c r="L14" s="225"/>
      <c r="M14" s="174"/>
      <c r="N14" s="129"/>
      <c r="O14" s="129"/>
      <c r="P14" s="129"/>
      <c r="Q14" s="129"/>
      <c r="S14" s="174"/>
      <c r="U14" s="174"/>
      <c r="V14" s="129"/>
      <c r="W14" s="129"/>
      <c r="X14" s="174"/>
      <c r="Y14" s="175"/>
      <c r="Z14" s="124"/>
      <c r="AA14" s="174"/>
      <c r="AB14" s="198"/>
      <c r="AC14" s="198"/>
      <c r="AE14" s="198"/>
    </row>
    <row r="15" spans="1:31" x14ac:dyDescent="0.2">
      <c r="A15" s="226">
        <v>0</v>
      </c>
      <c r="B15" s="50" t="s">
        <v>48</v>
      </c>
      <c r="C15" s="50">
        <v>383760</v>
      </c>
      <c r="D15" s="227">
        <f>$C15/(1+disc)^$A15</f>
        <v>383760</v>
      </c>
      <c r="E15" s="228" t="s">
        <v>49</v>
      </c>
      <c r="F15" s="229" t="s">
        <v>49</v>
      </c>
      <c r="G15" s="230" t="s">
        <v>49</v>
      </c>
      <c r="H15" s="52">
        <v>615380</v>
      </c>
      <c r="I15" s="78" t="str">
        <f>IF('General Data'!$H$30="","",'General Data'!$H$30)</f>
        <v/>
      </c>
      <c r="J15" s="78"/>
      <c r="K15" s="231">
        <f>IF(A16=1,1,VLOOKUP(A16-1,'DOE Fuel Esc Rates'!T9:AB13,8,TRUE))</f>
        <v>1</v>
      </c>
      <c r="L15" s="232"/>
      <c r="M15" s="233"/>
      <c r="N15" s="53">
        <v>23840</v>
      </c>
      <c r="O15" s="78" t="str">
        <f>IF('General Data'!$H$31="","",'General Data'!$H$31)</f>
        <v/>
      </c>
      <c r="P15" s="78"/>
      <c r="Q15" s="234">
        <f>IF(A16=1,1,VLOOKUP(A16-1,'DOE Fuel Esc Rates'!T9:AB13,9,TRUE))</f>
        <v>1</v>
      </c>
      <c r="R15" s="232"/>
      <c r="S15" s="233"/>
      <c r="T15" s="53">
        <v>0</v>
      </c>
      <c r="U15" s="233"/>
      <c r="V15" s="235"/>
      <c r="W15" s="236">
        <f>+D15+M15+S15+U15</f>
        <v>383760</v>
      </c>
      <c r="X15" s="237">
        <f>+D15+M15+S15+U15</f>
        <v>383760</v>
      </c>
      <c r="Y15" s="238">
        <f>SUM(X$15:X15)</f>
        <v>383760</v>
      </c>
      <c r="Z15" s="236">
        <f>LCC0!Y15-Y15</f>
        <v>-329460</v>
      </c>
      <c r="AA15" s="237"/>
      <c r="AB15" s="198"/>
      <c r="AC15" s="198"/>
      <c r="AE15" s="198"/>
    </row>
    <row r="16" spans="1:31" x14ac:dyDescent="0.2">
      <c r="A16" s="239">
        <f>IF(ROW(A16)-ROW($A$15)+$H$4&lt;=$N$4,A15+1+$H$4,"")</f>
        <v>1</v>
      </c>
      <c r="B16" s="51"/>
      <c r="C16" s="51">
        <v>0</v>
      </c>
      <c r="D16" s="240">
        <f>IF($A16&lt;&gt;"",$C16/((1+$T$5)^$A16),"")</f>
        <v>0</v>
      </c>
      <c r="E16" s="51"/>
      <c r="F16" s="51">
        <v>0</v>
      </c>
      <c r="G16" s="241">
        <f t="shared" ref="G16:G40" si="0">IF($A16&lt;&gt;"",$F16/((1+disc)^$A16),"")</f>
        <v>0</v>
      </c>
      <c r="H16" s="242">
        <f>IF($A16&lt;=$N$4,H$15*'General Data'!$S8,"")</f>
        <v>615380</v>
      </c>
      <c r="I16" s="243">
        <f>IF(A16&lt;&gt;"",IF(I$15="",VLOOKUP(A16,'DOE Fuel Esc Rates'!$T$9:$W$38,3,TRUE),I$15),"")</f>
        <v>2.7786548784338283E-2</v>
      </c>
      <c r="J16" s="243">
        <f>((1+I16)*(1+'General Data'!$M$25))-1</f>
        <v>2.8814335333122498E-2</v>
      </c>
      <c r="K16" s="244">
        <f>IF(H16&lt;&gt;"",H16*(1+I16)*K15,"")</f>
        <v>632479.28639090608</v>
      </c>
      <c r="L16" s="244">
        <f t="shared" ref="L16:L40" si="1">IF(H16&lt;&gt;"",H16/(1+disc)^$A16,"")</f>
        <v>597456.31067961163</v>
      </c>
      <c r="M16" s="241">
        <f t="shared" ref="M16:M40" si="2">IF(H16&lt;&gt;"",K16/(1+disc)^$A16,"")</f>
        <v>614057.55960282148</v>
      </c>
      <c r="N16" s="242">
        <f>IF($A16&lt;=$N$4,N$15*'General Data'!$S8,"")</f>
        <v>23840</v>
      </c>
      <c r="O16" s="243">
        <f>IF(A16&lt;&gt;"",IF(O$15="",VLOOKUP(A16,'DOE Fuel Esc Rates'!$T$9:$W$38,4,TRUE),O$15),"")</f>
        <v>1.2387387387387427E-2</v>
      </c>
      <c r="P16" s="243">
        <f>((1+O16)*(1+'General Data'!$M$25))-1</f>
        <v>1.339977477477472E-2</v>
      </c>
      <c r="Q16" s="244">
        <f>IF(N16&lt;&gt;"",N16*(1+O16)*Q15,"")</f>
        <v>24135.315315315318</v>
      </c>
      <c r="R16" s="244">
        <f t="shared" ref="R16:R40" si="3">IF(N16&lt;&gt;"",N16/(1+disc)^$A16,"")</f>
        <v>23145.631067961163</v>
      </c>
      <c r="S16" s="241">
        <f t="shared" ref="S16:S40" si="4">IF(N16&lt;&gt;"",Q16/((1+disc)^$A16),"")</f>
        <v>23432.344966325552</v>
      </c>
      <c r="T16" s="242">
        <f t="shared" ref="T16:T40" si="5">IF($A16&lt;=$N$4,T$15,"")</f>
        <v>0</v>
      </c>
      <c r="U16" s="245">
        <f t="shared" ref="U16:U40" si="6">IF(T16&lt;&gt;"",T16/(1+disc)^A16,"")</f>
        <v>0</v>
      </c>
      <c r="V16" s="246">
        <f>IF($A16&lt;=$N$4,VLOOKUP(A16,'DOE Fuel Esc Rates'!$T$9:$W$38,2,TRUE),"")</f>
        <v>2015</v>
      </c>
      <c r="W16" s="247">
        <f t="shared" ref="W16:W40" si="7">IF(A16&lt;&gt;"",SUM(C16,F16,K16,Q16,T16),"")</f>
        <v>656614.60170622135</v>
      </c>
      <c r="X16" s="241">
        <f t="shared" ref="X16:X40" si="8">IF(A16&lt;&gt;"",SUM(D16,G16,M16,S16,U16),"")</f>
        <v>637489.90456914704</v>
      </c>
      <c r="Y16" s="248">
        <f>IF(A16&lt;&gt;"",SUM(X$15:X16),"")</f>
        <v>1021249.904569147</v>
      </c>
      <c r="Z16" s="249">
        <f>IF(A16&lt;&gt;"",LCC0!Y16-Y16,"")</f>
        <v>-287163.26526691625</v>
      </c>
      <c r="AA16" s="312" t="str">
        <f>IF(A16&lt;&gt;"",IF(Z16&gt;0,A15+(-Z15)/(Z16-Z15),""),"")</f>
        <v/>
      </c>
      <c r="AB16" s="198"/>
      <c r="AC16" s="251">
        <f t="shared" ref="AC16:AC40" si="9">SUM(K16,Q16)</f>
        <v>656614.60170622135</v>
      </c>
      <c r="AE16" s="198"/>
    </row>
    <row r="17" spans="1:31" x14ac:dyDescent="0.2">
      <c r="A17" s="176">
        <f>IF(ROW(A17)-ROW($A$15)+$H$4&lt;=$N$4,A16+1,"")</f>
        <v>2</v>
      </c>
      <c r="B17" s="56"/>
      <c r="C17" s="51">
        <v>0</v>
      </c>
      <c r="D17" s="252">
        <f t="shared" ref="D17:D40" si="10">IF($A17&lt;&gt;"",$C17/((1+$T$5)^$A17),"")</f>
        <v>0</v>
      </c>
      <c r="E17" s="56"/>
      <c r="F17" s="51">
        <v>0</v>
      </c>
      <c r="G17" s="241">
        <f t="shared" si="0"/>
        <v>0</v>
      </c>
      <c r="H17" s="242">
        <f>IF($A17&lt;=$N$4,H$15*'General Data'!$S9,"")</f>
        <v>615380</v>
      </c>
      <c r="I17" s="243">
        <f>IF(A17&lt;&gt;"",IF(I$15="",VLOOKUP(A17,'DOE Fuel Esc Rates'!$T$9:$W$38,3,TRUE),I$15),"")</f>
        <v>1.3824884792626779E-2</v>
      </c>
      <c r="J17" s="243">
        <f>((1+I17)*(1+'General Data'!$M$25))-1</f>
        <v>1.4838709677419404E-2</v>
      </c>
      <c r="K17" s="253">
        <f t="shared" ref="K17:K40" si="11">IF(H17&lt;&gt;"",K16*(1+I17),"")</f>
        <v>641223.23965898319</v>
      </c>
      <c r="L17" s="253">
        <f t="shared" si="1"/>
        <v>580054.67056272982</v>
      </c>
      <c r="M17" s="241">
        <f t="shared" si="2"/>
        <v>604414.40254405059</v>
      </c>
      <c r="N17" s="242">
        <f>IF($A17&lt;=$N$4,N$15*'General Data'!$S9,"")</f>
        <v>23840</v>
      </c>
      <c r="O17" s="243">
        <f>IF(A17&lt;&gt;"",IF(O$15="",VLOOKUP(A17,'DOE Fuel Esc Rates'!$T$9:$W$38,4,TRUE),O$15),"")</f>
        <v>1.1123470522802492E-3</v>
      </c>
      <c r="P17" s="243">
        <f>((1+O17)*(1+'General Data'!$M$25))-1</f>
        <v>2.1134593993323847E-3</v>
      </c>
      <c r="Q17" s="253">
        <f t="shared" ref="Q17:Q40" si="12">IF(N17&lt;&gt;"",Q16*(1+O17),"")</f>
        <v>24162.162162162163</v>
      </c>
      <c r="R17" s="253">
        <f t="shared" si="3"/>
        <v>22471.486473748704</v>
      </c>
      <c r="S17" s="241">
        <f t="shared" si="4"/>
        <v>22775.155209880446</v>
      </c>
      <c r="T17" s="242">
        <f t="shared" si="5"/>
        <v>0</v>
      </c>
      <c r="U17" s="245">
        <f t="shared" si="6"/>
        <v>0</v>
      </c>
      <c r="V17" s="246">
        <f>IF($A17&lt;=$N$4,VLOOKUP(A17,'DOE Fuel Esc Rates'!$T$9:$W$38,2,TRUE),"")</f>
        <v>2016</v>
      </c>
      <c r="W17" s="247">
        <f t="shared" si="7"/>
        <v>665385.40182114532</v>
      </c>
      <c r="X17" s="241">
        <f t="shared" si="8"/>
        <v>627189.55775393103</v>
      </c>
      <c r="Y17" s="248">
        <f>IF(A17&lt;&gt;"",SUM(X$15:X17),"")</f>
        <v>1648439.462323078</v>
      </c>
      <c r="Z17" s="249">
        <f>IF(A17&lt;&gt;"",LCC0!Y17-Y17,"")</f>
        <v>-245548.71246706555</v>
      </c>
      <c r="AA17" s="312" t="str">
        <f>IF(A17&lt;&gt;"",IF(Z17&gt;0,IF(SUM(AA$16:AA16)=0,A16+(-Z16)/(Z17-Z16),""),""),"")</f>
        <v/>
      </c>
      <c r="AB17" s="198"/>
      <c r="AC17" s="251">
        <f t="shared" si="9"/>
        <v>665385.40182114532</v>
      </c>
      <c r="AE17" s="198"/>
    </row>
    <row r="18" spans="1:31" x14ac:dyDescent="0.2">
      <c r="A18" s="176">
        <f t="shared" ref="A18:A40" si="13">IF(ROW(A18)-ROW($A$15)+$H$4&lt;=$N$4,A17+1,"")</f>
        <v>3</v>
      </c>
      <c r="B18" s="56"/>
      <c r="C18" s="51">
        <v>0</v>
      </c>
      <c r="D18" s="252">
        <f t="shared" si="10"/>
        <v>0</v>
      </c>
      <c r="E18" s="56"/>
      <c r="F18" s="51">
        <v>0</v>
      </c>
      <c r="G18" s="241">
        <f t="shared" si="0"/>
        <v>0</v>
      </c>
      <c r="H18" s="242">
        <f>IF($A18&lt;=$N$4,H$15*'General Data'!$S10,"")</f>
        <v>615380</v>
      </c>
      <c r="I18" s="243">
        <f>IF(A18&lt;&gt;"",IF(I$15="",VLOOKUP(A18,'DOE Fuel Esc Rates'!$T$9:$W$38,3,TRUE),I$15),"")</f>
        <v>-1.0606060606060619E-2</v>
      </c>
      <c r="J18" s="243">
        <f>((1+I18)*(1+'General Data'!$M$25))-1</f>
        <v>-9.6166666666668288E-3</v>
      </c>
      <c r="K18" s="253">
        <f t="shared" si="11"/>
        <v>634422.38711714547</v>
      </c>
      <c r="L18" s="253">
        <f t="shared" si="1"/>
        <v>563159.87433274731</v>
      </c>
      <c r="M18" s="241">
        <f t="shared" si="2"/>
        <v>580586.3560771771</v>
      </c>
      <c r="N18" s="242">
        <f>IF($A18&lt;=$N$4,N$15*'General Data'!$S10,"")</f>
        <v>23840</v>
      </c>
      <c r="O18" s="243">
        <f>IF(A18&lt;&gt;"",IF(O$15="",VLOOKUP(A18,'DOE Fuel Esc Rates'!$T$9:$W$38,4,TRUE),O$15),"")</f>
        <v>-1.1111111111110628E-3</v>
      </c>
      <c r="P18" s="243">
        <f>((1+O18)*(1+'General Data'!$M$25))-1</f>
        <v>-1.1222222222229128E-4</v>
      </c>
      <c r="Q18" s="253">
        <f t="shared" si="12"/>
        <v>24135.315315315318</v>
      </c>
      <c r="R18" s="253">
        <f t="shared" si="3"/>
        <v>21816.977158979324</v>
      </c>
      <c r="S18" s="241">
        <f t="shared" si="4"/>
        <v>22087.232506669385</v>
      </c>
      <c r="T18" s="242">
        <f t="shared" si="5"/>
        <v>0</v>
      </c>
      <c r="U18" s="245">
        <f t="shared" si="6"/>
        <v>0</v>
      </c>
      <c r="V18" s="246">
        <f>IF($A18&lt;=$N$4,VLOOKUP(A18,'DOE Fuel Esc Rates'!$T$9:$W$38,2,TRUE),"")</f>
        <v>2017</v>
      </c>
      <c r="W18" s="247">
        <f t="shared" si="7"/>
        <v>658557.70243246073</v>
      </c>
      <c r="X18" s="241">
        <f t="shared" si="8"/>
        <v>602673.58858384646</v>
      </c>
      <c r="Y18" s="248">
        <f>IF(A18&lt;&gt;"",SUM(X$15:X18),"")</f>
        <v>2251113.0509069245</v>
      </c>
      <c r="Z18" s="249">
        <f>IF(A18&lt;&gt;"",LCC0!Y18-Y18,"")</f>
        <v>-205561.71131989243</v>
      </c>
      <c r="AA18" s="312" t="str">
        <f>IF(A18&lt;&gt;"",IF(Z18&gt;0,IF(SUM(AA$16:AA17)=0,A17+(-Z17)/(Z18-Z17),""),""),"")</f>
        <v/>
      </c>
      <c r="AB18" s="198"/>
      <c r="AC18" s="251">
        <f t="shared" si="9"/>
        <v>658557.70243246073</v>
      </c>
      <c r="AE18" s="198"/>
    </row>
    <row r="19" spans="1:31" x14ac:dyDescent="0.2">
      <c r="A19" s="176">
        <f t="shared" si="13"/>
        <v>4</v>
      </c>
      <c r="B19" s="56"/>
      <c r="C19" s="51">
        <v>0</v>
      </c>
      <c r="D19" s="252">
        <f t="shared" si="10"/>
        <v>0</v>
      </c>
      <c r="E19" s="56"/>
      <c r="F19" s="51">
        <v>0</v>
      </c>
      <c r="G19" s="241">
        <f t="shared" si="0"/>
        <v>0</v>
      </c>
      <c r="H19" s="242">
        <f>IF($A19&lt;=$N$4,H$15*'General Data'!$S11,"")</f>
        <v>615380</v>
      </c>
      <c r="I19" s="243">
        <f>IF(A19&lt;&gt;"",IF(I$15="",VLOOKUP(A19,'DOE Fuel Esc Rates'!$T$9:$W$38,3,TRUE),I$15),"")</f>
        <v>-7.9632465543644226E-3</v>
      </c>
      <c r="J19" s="243">
        <f>((1+I19)*(1+'General Data'!$M$25))-1</f>
        <v>-6.9712098009189205E-3</v>
      </c>
      <c r="K19" s="253">
        <f t="shared" si="11"/>
        <v>629370.32522892323</v>
      </c>
      <c r="L19" s="253">
        <f t="shared" si="1"/>
        <v>546757.15954635665</v>
      </c>
      <c r="M19" s="241">
        <f t="shared" si="2"/>
        <v>559187.38230838312</v>
      </c>
      <c r="N19" s="242">
        <f>IF($A19&lt;=$N$4,N$15*'General Data'!$S11,"")</f>
        <v>23840</v>
      </c>
      <c r="O19" s="243">
        <f>IF(A19&lt;&gt;"",IF(O$15="",VLOOKUP(A19,'DOE Fuel Esc Rates'!$T$9:$W$38,4,TRUE),O$15),"")</f>
        <v>3.6707452725250223E-2</v>
      </c>
      <c r="P19" s="243">
        <f>((1+O19)*(1+'General Data'!$M$25))-1</f>
        <v>3.7744160177975328E-2</v>
      </c>
      <c r="Q19" s="253">
        <f t="shared" si="12"/>
        <v>25021.261261261261</v>
      </c>
      <c r="R19" s="253">
        <f t="shared" si="3"/>
        <v>21181.531222310026</v>
      </c>
      <c r="S19" s="241">
        <f t="shared" si="4"/>
        <v>22231.066553145207</v>
      </c>
      <c r="T19" s="242">
        <f t="shared" si="5"/>
        <v>0</v>
      </c>
      <c r="U19" s="245">
        <f t="shared" si="6"/>
        <v>0</v>
      </c>
      <c r="V19" s="246">
        <f>IF($A19&lt;=$N$4,VLOOKUP(A19,'DOE Fuel Esc Rates'!$T$9:$W$38,2,TRUE),"")</f>
        <v>2018</v>
      </c>
      <c r="W19" s="247">
        <f t="shared" si="7"/>
        <v>654391.58649018453</v>
      </c>
      <c r="X19" s="241">
        <f t="shared" si="8"/>
        <v>581418.4488615283</v>
      </c>
      <c r="Y19" s="248">
        <f>IF(A19&lt;&gt;"",SUM(X$15:X19),"")</f>
        <v>2832531.4997684527</v>
      </c>
      <c r="Z19" s="249">
        <f>IF(A19&lt;&gt;"",LCC0!Y19-Y19,"")</f>
        <v>-166989.06404659105</v>
      </c>
      <c r="AA19" s="312" t="str">
        <f>IF(A19&lt;&gt;"",IF(Z19&gt;0,IF(SUM(AA$16:AA18)=0,A18+(-Z18)/(Z19-Z18),""),""),"")</f>
        <v/>
      </c>
      <c r="AB19" s="198"/>
      <c r="AC19" s="251">
        <f t="shared" si="9"/>
        <v>654391.58649018453</v>
      </c>
      <c r="AE19" s="198"/>
    </row>
    <row r="20" spans="1:31" x14ac:dyDescent="0.2">
      <c r="A20" s="176">
        <f t="shared" si="13"/>
        <v>5</v>
      </c>
      <c r="B20" s="56"/>
      <c r="C20" s="51">
        <v>0</v>
      </c>
      <c r="D20" s="252">
        <f t="shared" si="10"/>
        <v>0</v>
      </c>
      <c r="E20" s="56"/>
      <c r="F20" s="51">
        <v>0</v>
      </c>
      <c r="G20" s="241">
        <f t="shared" si="0"/>
        <v>0</v>
      </c>
      <c r="H20" s="242">
        <f>IF($A20&lt;=$N$4,H$15*'General Data'!$S12,"")</f>
        <v>615380</v>
      </c>
      <c r="I20" s="243">
        <f>IF(A20&lt;&gt;"",IF(I$15="",VLOOKUP(A20,'DOE Fuel Esc Rates'!$T$9:$W$38,3,TRUE),I$15),"")</f>
        <v>6.1747452917559897E-4</v>
      </c>
      <c r="J20" s="243">
        <f>((1+I20)*(1+'General Data'!$M$25))-1</f>
        <v>1.6180920037047741E-3</v>
      </c>
      <c r="K20" s="253">
        <f t="shared" si="11"/>
        <v>629758.94537417102</v>
      </c>
      <c r="L20" s="253">
        <f t="shared" si="1"/>
        <v>530832.19373432687</v>
      </c>
      <c r="M20" s="241">
        <f t="shared" si="2"/>
        <v>543235.59832426684</v>
      </c>
      <c r="N20" s="242">
        <f>IF($A20&lt;=$N$4,N$15*'General Data'!$S12,"")</f>
        <v>23840</v>
      </c>
      <c r="O20" s="243">
        <f>IF(A20&lt;&gt;"",IF(O$15="",VLOOKUP(A20,'DOE Fuel Esc Rates'!$T$9:$W$38,4,TRUE),O$15),"")</f>
        <v>4.7210300429184393E-2</v>
      </c>
      <c r="P20" s="243">
        <f>((1+O20)*(1+'General Data'!$M$25))-1</f>
        <v>4.8257510729613484E-2</v>
      </c>
      <c r="Q20" s="253">
        <f t="shared" si="12"/>
        <v>26202.522522522519</v>
      </c>
      <c r="R20" s="253">
        <f t="shared" si="3"/>
        <v>20564.593419718472</v>
      </c>
      <c r="S20" s="241">
        <f t="shared" si="4"/>
        <v>22602.526100951833</v>
      </c>
      <c r="T20" s="242">
        <f t="shared" si="5"/>
        <v>0</v>
      </c>
      <c r="U20" s="245">
        <f t="shared" si="6"/>
        <v>0</v>
      </c>
      <c r="V20" s="246">
        <f>IF($A20&lt;=$N$4,VLOOKUP(A20,'DOE Fuel Esc Rates'!$T$9:$W$38,2,TRUE),"")</f>
        <v>2019</v>
      </c>
      <c r="W20" s="247">
        <f t="shared" si="7"/>
        <v>655961.4678966935</v>
      </c>
      <c r="X20" s="241">
        <f t="shared" si="8"/>
        <v>565838.12442521867</v>
      </c>
      <c r="Y20" s="248">
        <f>IF(A20&lt;&gt;"",SUM(X$15:X20),"")</f>
        <v>3398369.6241936712</v>
      </c>
      <c r="Z20" s="249">
        <f>IF(A20&lt;&gt;"",LCC0!Y20-Y20,"")</f>
        <v>-129454.33741499158</v>
      </c>
      <c r="AA20" s="312" t="str">
        <f>IF(A20&lt;&gt;"",IF(Z20&gt;0,IF(SUM(AA$16:AA19)=0,A19+(-Z19)/(Z20-Z19),""),""),"")</f>
        <v/>
      </c>
      <c r="AB20" s="198"/>
      <c r="AC20" s="251">
        <f t="shared" si="9"/>
        <v>655961.4678966935</v>
      </c>
      <c r="AE20" s="198"/>
    </row>
    <row r="21" spans="1:31" x14ac:dyDescent="0.2">
      <c r="A21" s="176">
        <f t="shared" si="13"/>
        <v>6</v>
      </c>
      <c r="B21" s="56"/>
      <c r="C21" s="51">
        <v>0</v>
      </c>
      <c r="D21" s="252">
        <f t="shared" si="10"/>
        <v>0</v>
      </c>
      <c r="E21" s="56"/>
      <c r="F21" s="51">
        <v>0</v>
      </c>
      <c r="G21" s="241">
        <f t="shared" si="0"/>
        <v>0</v>
      </c>
      <c r="H21" s="242">
        <f>IF($A21&lt;=$N$4,H$15*'General Data'!$S13,"")</f>
        <v>615380</v>
      </c>
      <c r="I21" s="243">
        <f>IF(A21&lt;&gt;"",IF(I$15="",VLOOKUP(A21,'DOE Fuel Esc Rates'!$T$9:$W$38,3,TRUE),I$15),"")</f>
        <v>3.7025609379821578E-3</v>
      </c>
      <c r="J21" s="243">
        <f>((1+I21)*(1+'General Data'!$M$25))-1</f>
        <v>4.7062634989201158E-3</v>
      </c>
      <c r="K21" s="253">
        <f t="shared" si="11"/>
        <v>632090.6662456583</v>
      </c>
      <c r="L21" s="253">
        <f t="shared" si="1"/>
        <v>515371.06187798723</v>
      </c>
      <c r="M21" s="241">
        <f t="shared" si="2"/>
        <v>529365.98177742108</v>
      </c>
      <c r="N21" s="242">
        <f>IF($A21&lt;=$N$4,N$15*'General Data'!$S13,"")</f>
        <v>23840</v>
      </c>
      <c r="O21" s="243">
        <f>IF(A21&lt;&gt;"",IF(O$15="",VLOOKUP(A21,'DOE Fuel Esc Rates'!$T$9:$W$38,4,TRUE),O$15),"")</f>
        <v>3.5860655737704805E-2</v>
      </c>
      <c r="P21" s="243">
        <f>((1+O21)*(1+'General Data'!$M$25))-1</f>
        <v>3.6896516393442491E-2</v>
      </c>
      <c r="Q21" s="253">
        <f t="shared" si="12"/>
        <v>27142.162162162156</v>
      </c>
      <c r="R21" s="253">
        <f t="shared" si="3"/>
        <v>19965.624679338322</v>
      </c>
      <c r="S21" s="241">
        <f t="shared" si="4"/>
        <v>22731.133503165584</v>
      </c>
      <c r="T21" s="242">
        <f t="shared" si="5"/>
        <v>0</v>
      </c>
      <c r="U21" s="245">
        <f t="shared" si="6"/>
        <v>0</v>
      </c>
      <c r="V21" s="246">
        <f>IF($A21&lt;=$N$4,VLOOKUP(A21,'DOE Fuel Esc Rates'!$T$9:$W$38,2,TRUE),"")</f>
        <v>2020</v>
      </c>
      <c r="W21" s="247">
        <f t="shared" si="7"/>
        <v>659232.82840782043</v>
      </c>
      <c r="X21" s="241">
        <f t="shared" si="8"/>
        <v>552097.11528058664</v>
      </c>
      <c r="Y21" s="248">
        <f>IF(A21&lt;&gt;"",SUM(X$15:X21),"")</f>
        <v>3950466.7394742579</v>
      </c>
      <c r="Z21" s="249">
        <f>IF(A21&lt;&gt;"",LCC0!Y21-Y21,"")</f>
        <v>-92834.119219056796</v>
      </c>
      <c r="AA21" s="312" t="str">
        <f>IF(A21&lt;&gt;"",IF(Z21&gt;0,IF(SUM(AA$16:AA20)=0,A20+(-Z20)/(Z21-Z20),""),""),"")</f>
        <v/>
      </c>
      <c r="AB21" s="198"/>
      <c r="AC21" s="251">
        <f t="shared" si="9"/>
        <v>659232.82840782043</v>
      </c>
      <c r="AE21" s="198"/>
    </row>
    <row r="22" spans="1:31" x14ac:dyDescent="0.2">
      <c r="A22" s="176">
        <f t="shared" si="13"/>
        <v>7</v>
      </c>
      <c r="B22" s="56"/>
      <c r="C22" s="51">
        <v>0</v>
      </c>
      <c r="D22" s="252">
        <f t="shared" si="10"/>
        <v>0</v>
      </c>
      <c r="E22" s="56"/>
      <c r="F22" s="51">
        <v>0</v>
      </c>
      <c r="G22" s="241">
        <f t="shared" si="0"/>
        <v>0</v>
      </c>
      <c r="H22" s="242">
        <f>IF($A22&lt;=$N$4,H$15*'General Data'!$S14,"")</f>
        <v>615380</v>
      </c>
      <c r="I22" s="243">
        <f>IF(A22&lt;&gt;"",IF(I$15="",VLOOKUP(A22,'DOE Fuel Esc Rates'!$T$9:$W$38,3,TRUE),I$15),"")</f>
        <v>1.8444512757456177E-3</v>
      </c>
      <c r="J22" s="243">
        <f>((1+I22)*(1+'General Data'!$M$25))-1</f>
        <v>2.8462957270212197E-3</v>
      </c>
      <c r="K22" s="253">
        <f t="shared" si="11"/>
        <v>633256.526681402</v>
      </c>
      <c r="L22" s="253">
        <f t="shared" si="1"/>
        <v>500360.25425047305</v>
      </c>
      <c r="M22" s="241">
        <f t="shared" si="2"/>
        <v>514895.506347424</v>
      </c>
      <c r="N22" s="242">
        <f>IF($A22&lt;=$N$4,N$15*'General Data'!$S14,"")</f>
        <v>23840</v>
      </c>
      <c r="O22" s="243">
        <f>IF(A22&lt;&gt;"",IF(O$15="",VLOOKUP(A22,'DOE Fuel Esc Rates'!$T$9:$W$38,4,TRUE),O$15),"")</f>
        <v>2.0771513353115889E-2</v>
      </c>
      <c r="P22" s="243">
        <f>((1+O22)*(1+'General Data'!$M$25))-1</f>
        <v>2.1792284866468892E-2</v>
      </c>
      <c r="Q22" s="253">
        <f t="shared" si="12"/>
        <v>27705.945945945943</v>
      </c>
      <c r="R22" s="253">
        <f t="shared" si="3"/>
        <v>19384.101630425554</v>
      </c>
      <c r="S22" s="241">
        <f t="shared" si="4"/>
        <v>22527.469462386453</v>
      </c>
      <c r="T22" s="242">
        <f t="shared" si="5"/>
        <v>0</v>
      </c>
      <c r="U22" s="245">
        <f t="shared" si="6"/>
        <v>0</v>
      </c>
      <c r="V22" s="246">
        <f>IF($A22&lt;=$N$4,VLOOKUP(A22,'DOE Fuel Esc Rates'!$T$9:$W$38,2,TRUE),"")</f>
        <v>2021</v>
      </c>
      <c r="W22" s="247">
        <f t="shared" si="7"/>
        <v>660962.47262734792</v>
      </c>
      <c r="X22" s="241">
        <f t="shared" si="8"/>
        <v>537422.97580981045</v>
      </c>
      <c r="Y22" s="248">
        <f>IF(A22&lt;&gt;"",SUM(X$15:X22),"")</f>
        <v>4487889.7152840681</v>
      </c>
      <c r="Z22" s="249">
        <f>IF(A22&lt;&gt;"",LCC0!Y22-Y22,"")</f>
        <v>-57189.001223491505</v>
      </c>
      <c r="AA22" s="312" t="str">
        <f>IF(A22&lt;&gt;"",IF(Z22&gt;0,IF(SUM(AA$16:AA21)=0,A21+(-Z21)/(Z22-Z21),""),""),"")</f>
        <v/>
      </c>
      <c r="AB22" s="198"/>
      <c r="AC22" s="251">
        <f t="shared" si="9"/>
        <v>660962.47262734792</v>
      </c>
      <c r="AE22" s="198"/>
    </row>
    <row r="23" spans="1:31" x14ac:dyDescent="0.2">
      <c r="A23" s="176">
        <f t="shared" si="13"/>
        <v>8</v>
      </c>
      <c r="B23" s="56"/>
      <c r="C23" s="51">
        <v>0</v>
      </c>
      <c r="D23" s="252">
        <f t="shared" si="10"/>
        <v>0</v>
      </c>
      <c r="E23" s="56" t="s">
        <v>50</v>
      </c>
      <c r="F23" s="51">
        <v>0</v>
      </c>
      <c r="G23" s="241">
        <f t="shared" si="0"/>
        <v>0</v>
      </c>
      <c r="H23" s="242">
        <f>IF($A23&lt;=$N$4,H$15*'General Data'!$S15,"")</f>
        <v>615380</v>
      </c>
      <c r="I23" s="243">
        <f>IF(A23&lt;&gt;"",IF(I$15="",VLOOKUP(A23,'DOE Fuel Esc Rates'!$T$9:$W$38,3,TRUE),I$15),"")</f>
        <v>-2.1478981282602172E-3</v>
      </c>
      <c r="J23" s="243">
        <f>((1+I23)*(1+'General Data'!$M$25))-1</f>
        <v>-1.1500460263885737E-3</v>
      </c>
      <c r="K23" s="253">
        <f t="shared" si="11"/>
        <v>631896.35617303441</v>
      </c>
      <c r="L23" s="253">
        <f t="shared" si="1"/>
        <v>485786.65461210982</v>
      </c>
      <c r="M23" s="241">
        <f t="shared" si="2"/>
        <v>498824.81869232113</v>
      </c>
      <c r="N23" s="242">
        <f>IF($A23&lt;=$N$4,N$15*'General Data'!$S15,"")</f>
        <v>23840</v>
      </c>
      <c r="O23" s="243">
        <f>IF(A23&lt;&gt;"",IF(O$15="",VLOOKUP(A23,'DOE Fuel Esc Rates'!$T$9:$W$38,4,TRUE),O$15),"")</f>
        <v>1.744186046511631E-2</v>
      </c>
      <c r="P23" s="243">
        <f>((1+O23)*(1+'General Data'!$M$25))-1</f>
        <v>1.8459302325581239E-2</v>
      </c>
      <c r="Q23" s="253">
        <f t="shared" si="12"/>
        <v>28189.189189189186</v>
      </c>
      <c r="R23" s="253">
        <f t="shared" si="3"/>
        <v>18819.516146044229</v>
      </c>
      <c r="S23" s="241">
        <f t="shared" si="4"/>
        <v>22252.806253768511</v>
      </c>
      <c r="T23" s="242">
        <f t="shared" si="5"/>
        <v>0</v>
      </c>
      <c r="U23" s="245">
        <f t="shared" si="6"/>
        <v>0</v>
      </c>
      <c r="V23" s="246">
        <f>IF($A23&lt;=$N$4,VLOOKUP(A23,'DOE Fuel Esc Rates'!$T$9:$W$38,2,TRUE),"")</f>
        <v>2022</v>
      </c>
      <c r="W23" s="247">
        <f t="shared" si="7"/>
        <v>660085.54536222364</v>
      </c>
      <c r="X23" s="241">
        <f t="shared" si="8"/>
        <v>521077.62494608964</v>
      </c>
      <c r="Y23" s="248">
        <f>IF(A23&lt;&gt;"",SUM(X$15:X23),"")</f>
        <v>5008967.3402301576</v>
      </c>
      <c r="Z23" s="249">
        <f>IF(A23&lt;&gt;"",LCC0!Y23-Y23,"")</f>
        <v>-22629.824008359574</v>
      </c>
      <c r="AA23" s="312" t="str">
        <f>IF(A23&lt;&gt;"",IF(Z23&gt;0,IF(SUM(AA$16:AA22)=0,A22+(-Z22)/(Z23-Z22),""),""),"")</f>
        <v/>
      </c>
      <c r="AB23" s="198"/>
      <c r="AC23" s="251">
        <f t="shared" si="9"/>
        <v>660085.54536222364</v>
      </c>
      <c r="AE23" s="198"/>
    </row>
    <row r="24" spans="1:31" x14ac:dyDescent="0.2">
      <c r="A24" s="176">
        <f t="shared" si="13"/>
        <v>9</v>
      </c>
      <c r="B24" s="56"/>
      <c r="C24" s="51">
        <v>0</v>
      </c>
      <c r="D24" s="252">
        <f t="shared" si="10"/>
        <v>0</v>
      </c>
      <c r="E24" s="56"/>
      <c r="F24" s="51">
        <v>0</v>
      </c>
      <c r="G24" s="241">
        <f t="shared" si="0"/>
        <v>0</v>
      </c>
      <c r="H24" s="242">
        <f>IF($A24&lt;=$N$4,H$15*'General Data'!$S16,"")</f>
        <v>615380</v>
      </c>
      <c r="I24" s="243">
        <f>IF(A24&lt;&gt;"",IF(I$15="",VLOOKUP(A24,'DOE Fuel Esc Rates'!$T$9:$W$38,3,TRUE),I$15),"")</f>
        <v>-2.4600246002461912E-3</v>
      </c>
      <c r="J24" s="243">
        <f>((1+I24)*(1+'General Data'!$M$25))-1</f>
        <v>-1.4624846248465495E-3</v>
      </c>
      <c r="K24" s="253">
        <f t="shared" si="11"/>
        <v>630341.87559204281</v>
      </c>
      <c r="L24" s="253">
        <f t="shared" si="1"/>
        <v>471637.52874962112</v>
      </c>
      <c r="M24" s="241">
        <f t="shared" si="2"/>
        <v>483104.56055060646</v>
      </c>
      <c r="N24" s="242">
        <f>IF($A24&lt;=$N$4,N$15*'General Data'!$S16,"")</f>
        <v>23840</v>
      </c>
      <c r="O24" s="243">
        <f>IF(A24&lt;&gt;"",IF(O$15="",VLOOKUP(A24,'DOE Fuel Esc Rates'!$T$9:$W$38,4,TRUE),O$15),"")</f>
        <v>1.0476190476190528E-2</v>
      </c>
      <c r="P24" s="243">
        <f>((1+O24)*(1+'General Data'!$M$25))-1</f>
        <v>1.1486666666666645E-2</v>
      </c>
      <c r="Q24" s="253">
        <f t="shared" si="12"/>
        <v>28484.504504504504</v>
      </c>
      <c r="R24" s="253">
        <f t="shared" si="3"/>
        <v>18271.374899072067</v>
      </c>
      <c r="S24" s="241">
        <f t="shared" si="4"/>
        <v>21831.000864769663</v>
      </c>
      <c r="T24" s="242">
        <f t="shared" si="5"/>
        <v>0</v>
      </c>
      <c r="U24" s="245">
        <f t="shared" si="6"/>
        <v>0</v>
      </c>
      <c r="V24" s="246">
        <f>IF($A24&lt;=$N$4,VLOOKUP(A24,'DOE Fuel Esc Rates'!$T$9:$W$38,2,TRUE),"")</f>
        <v>2023</v>
      </c>
      <c r="W24" s="247">
        <f t="shared" si="7"/>
        <v>658826.38009654731</v>
      </c>
      <c r="X24" s="241">
        <f t="shared" si="8"/>
        <v>504935.56141537614</v>
      </c>
      <c r="Y24" s="248">
        <f>IF(A24&lt;&gt;"",SUM(X$15:X24),"")</f>
        <v>5513902.9016455337</v>
      </c>
      <c r="Z24" s="249">
        <f>IF(A24&lt;&gt;"",LCC0!Y24-Y24,"")</f>
        <v>10857.585440558381</v>
      </c>
      <c r="AA24" s="312">
        <f>IF(A24&lt;&gt;"",IF(Z24&gt;0,IF(SUM(AA$16:AA23)=0,A23+(-Z23)/(Z24-Z23),""),""),"")</f>
        <v>8.6757711145999323</v>
      </c>
      <c r="AB24" s="198"/>
      <c r="AC24" s="251">
        <f t="shared" si="9"/>
        <v>658826.38009654731</v>
      </c>
      <c r="AE24" s="198"/>
    </row>
    <row r="25" spans="1:31" x14ac:dyDescent="0.2">
      <c r="A25" s="176">
        <f t="shared" si="13"/>
        <v>10</v>
      </c>
      <c r="B25" s="56"/>
      <c r="C25" s="51">
        <v>0</v>
      </c>
      <c r="D25" s="252">
        <f t="shared" si="10"/>
        <v>0</v>
      </c>
      <c r="E25" s="56"/>
      <c r="F25" s="51">
        <v>0</v>
      </c>
      <c r="G25" s="241">
        <f t="shared" si="0"/>
        <v>0</v>
      </c>
      <c r="H25" s="242">
        <f>IF($A25&lt;=$N$4,H$15*'General Data'!$S17,"")</f>
        <v>615380</v>
      </c>
      <c r="I25" s="243">
        <f>IF(A25&lt;&gt;"",IF(I$15="",VLOOKUP(A25,'DOE Fuel Esc Rates'!$T$9:$W$38,3,TRUE),I$15),"")</f>
        <v>2.1578298397040285E-3</v>
      </c>
      <c r="J25" s="243">
        <f>((1+I25)*(1+'General Data'!$M$25))-1</f>
        <v>3.159987669543618E-3</v>
      </c>
      <c r="K25" s="253">
        <f t="shared" si="11"/>
        <v>631702.04610041028</v>
      </c>
      <c r="L25" s="253">
        <f t="shared" si="1"/>
        <v>457900.51334914676</v>
      </c>
      <c r="M25" s="241">
        <f t="shared" si="2"/>
        <v>470045.64853112586</v>
      </c>
      <c r="N25" s="242">
        <f>IF($A25&lt;=$N$4,N$15*'General Data'!$S17,"")</f>
        <v>23840</v>
      </c>
      <c r="O25" s="243">
        <f>IF(A25&lt;&gt;"",IF(O$15="",VLOOKUP(A25,'DOE Fuel Esc Rates'!$T$9:$W$38,4,TRUE),O$15),"")</f>
        <v>1.6965127238454336E-2</v>
      </c>
      <c r="P25" s="243">
        <f>((1+O25)*(1+'General Data'!$M$25))-1</f>
        <v>1.7982092365692592E-2</v>
      </c>
      <c r="Q25" s="253">
        <f t="shared" si="12"/>
        <v>28967.747747747748</v>
      </c>
      <c r="R25" s="253">
        <f t="shared" si="3"/>
        <v>17739.198931137929</v>
      </c>
      <c r="S25" s="241">
        <f t="shared" si="4"/>
        <v>21554.724827362414</v>
      </c>
      <c r="T25" s="242">
        <f t="shared" si="5"/>
        <v>0</v>
      </c>
      <c r="U25" s="245">
        <f t="shared" si="6"/>
        <v>0</v>
      </c>
      <c r="V25" s="246">
        <f>IF($A25&lt;=$N$4,VLOOKUP(A25,'DOE Fuel Esc Rates'!$T$9:$W$38,2,TRUE),"")</f>
        <v>2024</v>
      </c>
      <c r="W25" s="247">
        <f t="shared" si="7"/>
        <v>660669.79384815798</v>
      </c>
      <c r="X25" s="241">
        <f t="shared" si="8"/>
        <v>491600.37335848826</v>
      </c>
      <c r="Y25" s="248">
        <f>IF(A25&lt;&gt;"",SUM(X$15:X25),"")</f>
        <v>6005503.2750040218</v>
      </c>
      <c r="Z25" s="249">
        <f>IF(A25&lt;&gt;"",LCC0!Y25-Y25,"")</f>
        <v>43459.272448400036</v>
      </c>
      <c r="AA25" s="312" t="str">
        <f>IF(A25&lt;&gt;"",IF(Z25&gt;0,IF(SUM(AA$16:AA24)=0,A24+(-Z24)/(Z25-Z24),""),""),"")</f>
        <v/>
      </c>
      <c r="AB25" s="198"/>
      <c r="AC25" s="251">
        <f t="shared" si="9"/>
        <v>660669.79384815798</v>
      </c>
      <c r="AE25" s="198"/>
    </row>
    <row r="26" spans="1:31" x14ac:dyDescent="0.2">
      <c r="A26" s="176">
        <f t="shared" si="13"/>
        <v>11</v>
      </c>
      <c r="B26" s="56"/>
      <c r="C26" s="51">
        <v>0</v>
      </c>
      <c r="D26" s="252">
        <f t="shared" si="10"/>
        <v>0</v>
      </c>
      <c r="E26" s="56"/>
      <c r="F26" s="51">
        <v>0</v>
      </c>
      <c r="G26" s="241">
        <f t="shared" si="0"/>
        <v>0</v>
      </c>
      <c r="H26" s="242">
        <f>IF($A26&lt;=$N$4,H$15*'General Data'!$S18,"")</f>
        <v>615380</v>
      </c>
      <c r="I26" s="243">
        <f>IF(A26&lt;&gt;"",IF(I$15="",VLOOKUP(A26,'DOE Fuel Esc Rates'!$T$9:$W$38,3,TRUE),I$15),"")</f>
        <v>3.9987696093510827E-3</v>
      </c>
      <c r="J26" s="243">
        <f>((1+I26)*(1+'General Data'!$M$25))-1</f>
        <v>5.0027683789604094E-3</v>
      </c>
      <c r="K26" s="253">
        <f t="shared" si="11"/>
        <v>634228.07704452146</v>
      </c>
      <c r="L26" s="253">
        <f t="shared" si="1"/>
        <v>444563.60519334633</v>
      </c>
      <c r="M26" s="241">
        <f t="shared" si="2"/>
        <v>458179.85707328137</v>
      </c>
      <c r="N26" s="242">
        <f>IF($A26&lt;=$N$4,N$15*'General Data'!$S18,"")</f>
        <v>23840</v>
      </c>
      <c r="O26" s="243">
        <f>IF(A26&lt;&gt;"",IF(O$15="",VLOOKUP(A26,'DOE Fuel Esc Rates'!$T$9:$W$38,4,TRUE),O$15),"")</f>
        <v>2.1316033364226161E-2</v>
      </c>
      <c r="P26" s="243">
        <f>((1+O26)*(1+'General Data'!$M$25))-1</f>
        <v>2.2337349397590245E-2</v>
      </c>
      <c r="Q26" s="253">
        <f t="shared" si="12"/>
        <v>29585.225225225226</v>
      </c>
      <c r="R26" s="253">
        <f t="shared" si="3"/>
        <v>17222.523234114495</v>
      </c>
      <c r="S26" s="241">
        <f t="shared" si="4"/>
        <v>21372.996175669112</v>
      </c>
      <c r="T26" s="242">
        <f t="shared" si="5"/>
        <v>0</v>
      </c>
      <c r="U26" s="245">
        <f t="shared" si="6"/>
        <v>0</v>
      </c>
      <c r="V26" s="246">
        <f>IF($A26&lt;=$N$4,VLOOKUP(A26,'DOE Fuel Esc Rates'!$T$9:$W$38,2,TRUE),"")</f>
        <v>2025</v>
      </c>
      <c r="W26" s="247">
        <f t="shared" si="7"/>
        <v>663813.30226974667</v>
      </c>
      <c r="X26" s="241">
        <f t="shared" si="8"/>
        <v>479552.8532489505</v>
      </c>
      <c r="Y26" s="248">
        <f>IF(A26&lt;&gt;"",SUM(X$15:X26),"")</f>
        <v>6485056.1282529719</v>
      </c>
      <c r="Z26" s="249">
        <f>IF(A26&lt;&gt;"",LCC0!Y26-Y26,"")</f>
        <v>75260.463102762587</v>
      </c>
      <c r="AA26" s="312" t="str">
        <f>IF(A26&lt;&gt;"",IF(Z26&gt;0,IF(SUM(AA$16:AA25)=0,A25+(-Z25)/(Z26-Z25),""),""),"")</f>
        <v/>
      </c>
      <c r="AB26" s="198"/>
      <c r="AC26" s="251">
        <f t="shared" si="9"/>
        <v>663813.30226974667</v>
      </c>
      <c r="AE26" s="198"/>
    </row>
    <row r="27" spans="1:31" x14ac:dyDescent="0.2">
      <c r="A27" s="176">
        <f t="shared" si="13"/>
        <v>12</v>
      </c>
      <c r="B27" s="56"/>
      <c r="C27" s="51">
        <v>0</v>
      </c>
      <c r="D27" s="252">
        <f t="shared" si="10"/>
        <v>0</v>
      </c>
      <c r="E27" s="56"/>
      <c r="F27" s="51">
        <v>0</v>
      </c>
      <c r="G27" s="241">
        <f t="shared" si="0"/>
        <v>0</v>
      </c>
      <c r="H27" s="242">
        <f>IF($A27&lt;=$N$4,H$15*'General Data'!$S19,"")</f>
        <v>615380</v>
      </c>
      <c r="I27" s="243">
        <f>IF(A27&lt;&gt;"",IF(I$15="",VLOOKUP(A27,'DOE Fuel Esc Rates'!$T$9:$W$38,3,TRUE),I$15),"")</f>
        <v>1.5318627450979783E-3</v>
      </c>
      <c r="J27" s="243">
        <f>((1+I27)*(1+'General Data'!$M$25))-1</f>
        <v>2.5333946078429648E-3</v>
      </c>
      <c r="K27" s="253">
        <f t="shared" si="11"/>
        <v>635199.62740764103</v>
      </c>
      <c r="L27" s="253">
        <f t="shared" si="1"/>
        <v>431615.15067315183</v>
      </c>
      <c r="M27" s="241">
        <f t="shared" si="2"/>
        <v>445516.23856979248</v>
      </c>
      <c r="N27" s="242">
        <f>IF($A27&lt;=$N$4,N$15*'General Data'!$S19,"")</f>
        <v>23840</v>
      </c>
      <c r="O27" s="243">
        <f>IF(A27&lt;&gt;"",IF(O$15="",VLOOKUP(A27,'DOE Fuel Esc Rates'!$T$9:$W$38,4,TRUE),O$15),"")</f>
        <v>5.4446460980037692E-3</v>
      </c>
      <c r="P27" s="243">
        <f>((1+O27)*(1+'General Data'!$M$25))-1</f>
        <v>6.4500907441016331E-3</v>
      </c>
      <c r="Q27" s="253">
        <f t="shared" si="12"/>
        <v>29746.306306306309</v>
      </c>
      <c r="R27" s="253">
        <f t="shared" si="3"/>
        <v>16720.896343800483</v>
      </c>
      <c r="S27" s="241">
        <f t="shared" si="4"/>
        <v>20863.460753300602</v>
      </c>
      <c r="T27" s="242">
        <f t="shared" si="5"/>
        <v>0</v>
      </c>
      <c r="U27" s="245">
        <f t="shared" si="6"/>
        <v>0</v>
      </c>
      <c r="V27" s="246">
        <f>IF($A27&lt;=$N$4,VLOOKUP(A27,'DOE Fuel Esc Rates'!$T$9:$W$38,2,TRUE),"")</f>
        <v>2026</v>
      </c>
      <c r="W27" s="247">
        <f t="shared" si="7"/>
        <v>664945.93371394731</v>
      </c>
      <c r="X27" s="241">
        <f t="shared" si="8"/>
        <v>466379.69932309305</v>
      </c>
      <c r="Y27" s="248">
        <f>IF(A27&lt;&gt;"",SUM(X$15:X27),"")</f>
        <v>6951435.8275760654</v>
      </c>
      <c r="Z27" s="249">
        <f>IF(A27&lt;&gt;"",LCC0!Y27-Y27,"")</f>
        <v>106187.74211124144</v>
      </c>
      <c r="AA27" s="312" t="str">
        <f>IF(A27&lt;&gt;"",IF(Z27&gt;0,IF(SUM(AA$16:AA26)=0,A26+(-Z26)/(Z27-Z26),""),""),"")</f>
        <v/>
      </c>
      <c r="AB27" s="198"/>
      <c r="AC27" s="251">
        <f t="shared" si="9"/>
        <v>664945.93371394731</v>
      </c>
      <c r="AE27" s="198"/>
    </row>
    <row r="28" spans="1:31" x14ac:dyDescent="0.2">
      <c r="A28" s="176">
        <f t="shared" si="13"/>
        <v>13</v>
      </c>
      <c r="B28" s="56"/>
      <c r="C28" s="51">
        <v>0</v>
      </c>
      <c r="D28" s="252">
        <f t="shared" si="10"/>
        <v>0</v>
      </c>
      <c r="E28" s="56"/>
      <c r="F28" s="51">
        <v>0</v>
      </c>
      <c r="G28" s="241">
        <f t="shared" si="0"/>
        <v>0</v>
      </c>
      <c r="H28" s="242">
        <f>IF($A28&lt;=$N$4,H$15*'General Data'!$S20,"")</f>
        <v>615380</v>
      </c>
      <c r="I28" s="243">
        <f>IF(A28&lt;&gt;"",IF(I$15="",VLOOKUP(A28,'DOE Fuel Esc Rates'!$T$9:$W$38,3,TRUE),I$15),"")</f>
        <v>-4.282655246252709E-3</v>
      </c>
      <c r="J28" s="243">
        <f>((1+I28)*(1+'General Data'!$M$25))-1</f>
        <v>-3.2869379014990319E-3</v>
      </c>
      <c r="K28" s="253">
        <f t="shared" si="11"/>
        <v>632479.28639090597</v>
      </c>
      <c r="L28" s="253">
        <f t="shared" si="1"/>
        <v>419043.83560500183</v>
      </c>
      <c r="M28" s="241">
        <f t="shared" si="2"/>
        <v>430687.61758581636</v>
      </c>
      <c r="N28" s="242">
        <f>IF($A28&lt;=$N$4,N$15*'General Data'!$S20,"")</f>
        <v>23840</v>
      </c>
      <c r="O28" s="243">
        <f>IF(A28&lt;&gt;"",IF(O$15="",VLOOKUP(A28,'DOE Fuel Esc Rates'!$T$9:$W$38,4,TRUE),O$15),"")</f>
        <v>-7.2202166064981865E-3</v>
      </c>
      <c r="P28" s="243">
        <f>((1+O28)*(1+'General Data'!$M$25))-1</f>
        <v>-6.2274368231047816E-3</v>
      </c>
      <c r="Q28" s="253">
        <f t="shared" si="12"/>
        <v>29531.531531531535</v>
      </c>
      <c r="R28" s="253">
        <f t="shared" si="3"/>
        <v>16233.879945437362</v>
      </c>
      <c r="S28" s="241">
        <f t="shared" si="4"/>
        <v>20109.535968447184</v>
      </c>
      <c r="T28" s="242">
        <f t="shared" si="5"/>
        <v>0</v>
      </c>
      <c r="U28" s="245">
        <f t="shared" si="6"/>
        <v>0</v>
      </c>
      <c r="V28" s="246">
        <f>IF($A28&lt;=$N$4,VLOOKUP(A28,'DOE Fuel Esc Rates'!$T$9:$W$38,2,TRUE),"")</f>
        <v>2027</v>
      </c>
      <c r="W28" s="247">
        <f t="shared" si="7"/>
        <v>662010.81792243745</v>
      </c>
      <c r="X28" s="241">
        <f t="shared" si="8"/>
        <v>450797.15355426352</v>
      </c>
      <c r="Y28" s="248">
        <f>IF(A28&lt;&gt;"",SUM(X$15:X28),"")</f>
        <v>7402232.981130329</v>
      </c>
      <c r="Z28" s="249">
        <f>IF(A28&lt;&gt;"",LCC0!Y28-Y28,"")</f>
        <v>136081.93954978418</v>
      </c>
      <c r="AA28" s="312" t="str">
        <f>IF(A28&lt;&gt;"",IF(Z28&gt;0,IF(SUM(AA$16:AA27)=0,A27+(-Z27)/(Z28-Z27),""),""),"")</f>
        <v/>
      </c>
      <c r="AB28" s="198"/>
      <c r="AC28" s="251">
        <f t="shared" si="9"/>
        <v>662010.81792243745</v>
      </c>
      <c r="AE28" s="198"/>
    </row>
    <row r="29" spans="1:31" x14ac:dyDescent="0.2">
      <c r="A29" s="176">
        <f t="shared" si="13"/>
        <v>14</v>
      </c>
      <c r="B29" s="56"/>
      <c r="C29" s="51">
        <v>0</v>
      </c>
      <c r="D29" s="252">
        <f t="shared" si="10"/>
        <v>0</v>
      </c>
      <c r="E29" s="56"/>
      <c r="F29" s="51">
        <v>0</v>
      </c>
      <c r="G29" s="241">
        <f t="shared" si="0"/>
        <v>0</v>
      </c>
      <c r="H29" s="242">
        <f>IF($A29&lt;=$N$4,H$15*'General Data'!$S21,"")</f>
        <v>615380</v>
      </c>
      <c r="I29" s="243">
        <f>IF(A29&lt;&gt;"",IF(I$15="",VLOOKUP(A29,'DOE Fuel Esc Rates'!$T$9:$W$38,3,TRUE),I$15),"")</f>
        <v>-7.0660522273424675E-3</v>
      </c>
      <c r="J29" s="243">
        <f>((1+I29)*(1+'General Data'!$M$25))-1</f>
        <v>-6.0731182795699112E-3</v>
      </c>
      <c r="K29" s="253">
        <f t="shared" si="11"/>
        <v>628010.15472055553</v>
      </c>
      <c r="L29" s="253">
        <f t="shared" si="1"/>
        <v>406838.67534466193</v>
      </c>
      <c r="M29" s="241">
        <f t="shared" si="2"/>
        <v>415188.69552066526</v>
      </c>
      <c r="N29" s="242">
        <f>IF($A29&lt;=$N$4,N$15*'General Data'!$S21,"")</f>
        <v>23840</v>
      </c>
      <c r="O29" s="243">
        <f>IF(A29&lt;&gt;"",IF(O$15="",VLOOKUP(A29,'DOE Fuel Esc Rates'!$T$9:$W$38,4,TRUE),O$15),"")</f>
        <v>-4.5454545454546302E-3</v>
      </c>
      <c r="P29" s="243">
        <f>((1+O29)*(1+'General Data'!$M$25))-1</f>
        <v>-3.5500000000001641E-3</v>
      </c>
      <c r="Q29" s="253">
        <f t="shared" si="12"/>
        <v>29397.297297297297</v>
      </c>
      <c r="R29" s="253">
        <f t="shared" si="3"/>
        <v>15761.048490715883</v>
      </c>
      <c r="S29" s="241">
        <f t="shared" si="4"/>
        <v>19435.076686186814</v>
      </c>
      <c r="T29" s="242">
        <f t="shared" si="5"/>
        <v>0</v>
      </c>
      <c r="U29" s="245">
        <f t="shared" si="6"/>
        <v>0</v>
      </c>
      <c r="V29" s="246">
        <f>IF($A29&lt;=$N$4,VLOOKUP(A29,'DOE Fuel Esc Rates'!$T$9:$W$38,2,TRUE),"")</f>
        <v>2028</v>
      </c>
      <c r="W29" s="247">
        <f t="shared" si="7"/>
        <v>657407.4520178528</v>
      </c>
      <c r="X29" s="241">
        <f t="shared" si="8"/>
        <v>434623.7722068521</v>
      </c>
      <c r="Y29" s="248">
        <f>IF(A29&lt;&gt;"",SUM(X$15:X29),"")</f>
        <v>7836856.7533371812</v>
      </c>
      <c r="Z29" s="249">
        <f>IF(A29&lt;&gt;"",LCC0!Y29-Y29,"")</f>
        <v>164903.40578229912</v>
      </c>
      <c r="AA29" s="312" t="str">
        <f>IF(A29&lt;&gt;"",IF(Z29&gt;0,IF(SUM(AA$16:AA28)=0,A28+(-Z28)/(Z29-Z28),""),""),"")</f>
        <v/>
      </c>
      <c r="AB29" s="198"/>
      <c r="AC29" s="251">
        <f t="shared" si="9"/>
        <v>657407.4520178528</v>
      </c>
      <c r="AE29" s="198"/>
    </row>
    <row r="30" spans="1:31" x14ac:dyDescent="0.2">
      <c r="A30" s="176">
        <f t="shared" si="13"/>
        <v>15</v>
      </c>
      <c r="B30" s="56" t="s">
        <v>51</v>
      </c>
      <c r="C30" s="51">
        <v>0</v>
      </c>
      <c r="D30" s="252">
        <f t="shared" si="10"/>
        <v>0</v>
      </c>
      <c r="E30" s="56"/>
      <c r="F30" s="51">
        <v>0</v>
      </c>
      <c r="G30" s="241">
        <f t="shared" si="0"/>
        <v>0</v>
      </c>
      <c r="H30" s="242">
        <f>IF($A30&lt;=$N$4,H$15*'General Data'!$S22,"")</f>
        <v>615380</v>
      </c>
      <c r="I30" s="243">
        <f>IF(A30&lt;&gt;"",IF(I$15="",VLOOKUP(A30,'DOE Fuel Esc Rates'!$T$9:$W$38,3,TRUE),I$15),"")</f>
        <v>-2.7846534653466204E-3</v>
      </c>
      <c r="J30" s="243">
        <f>((1+I30)*(1+'General Data'!$M$25))-1</f>
        <v>-1.7874381188121014E-3</v>
      </c>
      <c r="K30" s="253">
        <f t="shared" si="11"/>
        <v>626261.36406694003</v>
      </c>
      <c r="L30" s="253">
        <f t="shared" si="1"/>
        <v>394989.00518899213</v>
      </c>
      <c r="M30" s="241">
        <f t="shared" si="2"/>
        <v>401973.3387193309</v>
      </c>
      <c r="N30" s="242">
        <f>IF($A30&lt;=$N$4,N$15*'General Data'!$S22,"")</f>
        <v>23840</v>
      </c>
      <c r="O30" s="243">
        <f>IF(A30&lt;&gt;"",IF(O$15="",VLOOKUP(A30,'DOE Fuel Esc Rates'!$T$9:$W$38,4,TRUE),O$15),"")</f>
        <v>2.73972602739736E-3</v>
      </c>
      <c r="P30" s="243">
        <f>((1+O30)*(1+'General Data'!$M$25))-1</f>
        <v>3.7424657534246286E-3</v>
      </c>
      <c r="Q30" s="253">
        <f t="shared" si="12"/>
        <v>29477.83783783784</v>
      </c>
      <c r="R30" s="253">
        <f t="shared" si="3"/>
        <v>15301.988825937749</v>
      </c>
      <c r="S30" s="241">
        <f t="shared" si="4"/>
        <v>18920.702399639245</v>
      </c>
      <c r="T30" s="242">
        <f t="shared" si="5"/>
        <v>0</v>
      </c>
      <c r="U30" s="245">
        <f t="shared" si="6"/>
        <v>0</v>
      </c>
      <c r="V30" s="246">
        <f>IF($A30&lt;=$N$4,VLOOKUP(A30,'DOE Fuel Esc Rates'!$T$9:$W$38,2,TRUE),"")</f>
        <v>2029</v>
      </c>
      <c r="W30" s="247">
        <f t="shared" si="7"/>
        <v>655739.2019047779</v>
      </c>
      <c r="X30" s="241">
        <f t="shared" si="8"/>
        <v>420894.04111897014</v>
      </c>
      <c r="Y30" s="248">
        <f>IF(A30&lt;&gt;"",SUM(X$15:X30),"")</f>
        <v>8257750.7944561513</v>
      </c>
      <c r="Z30" s="249">
        <f>IF(A30&lt;&gt;"",LCC0!Y30-Y30,"")</f>
        <v>192813.96289055515</v>
      </c>
      <c r="AA30" s="312" t="str">
        <f>IF(A30&lt;&gt;"",IF(Z30&gt;0,IF(SUM(AA$16:AA29)=0,A29+(-Z29)/(Z30-Z29),""),""),"")</f>
        <v/>
      </c>
      <c r="AB30" s="198"/>
      <c r="AC30" s="251">
        <f t="shared" si="9"/>
        <v>655739.2019047779</v>
      </c>
      <c r="AE30" s="198"/>
    </row>
    <row r="31" spans="1:31" x14ac:dyDescent="0.2">
      <c r="A31" s="176">
        <f t="shared" si="13"/>
        <v>16</v>
      </c>
      <c r="B31" s="56"/>
      <c r="C31" s="51">
        <v>0</v>
      </c>
      <c r="D31" s="252">
        <f t="shared" si="10"/>
        <v>0</v>
      </c>
      <c r="E31" s="56"/>
      <c r="F31" s="51">
        <v>0</v>
      </c>
      <c r="G31" s="241">
        <f t="shared" si="0"/>
        <v>0</v>
      </c>
      <c r="H31" s="242">
        <f>IF($A31&lt;=$N$4,H$15*'General Data'!$S23,"")</f>
        <v>615380</v>
      </c>
      <c r="I31" s="243">
        <f>IF(A31&lt;&gt;"",IF(I$15="",VLOOKUP(A31,'DOE Fuel Esc Rates'!$T$9:$W$38,3,TRUE),I$15),"")</f>
        <v>-1.2410797393732631E-3</v>
      </c>
      <c r="J31" s="243">
        <f>((1+I31)*(1+'General Data'!$M$25))-1</f>
        <v>-2.4232081911279568E-4</v>
      </c>
      <c r="K31" s="253">
        <f t="shared" si="11"/>
        <v>625484.12377644423</v>
      </c>
      <c r="L31" s="253">
        <f t="shared" si="1"/>
        <v>383484.47105727397</v>
      </c>
      <c r="M31" s="241">
        <f t="shared" si="2"/>
        <v>389781.0269445419</v>
      </c>
      <c r="N31" s="242">
        <f>IF($A31&lt;=$N$4,N$15*'General Data'!$S23,"")</f>
        <v>23840</v>
      </c>
      <c r="O31" s="243">
        <f>IF(A31&lt;&gt;"",IF(O$15="",VLOOKUP(A31,'DOE Fuel Esc Rates'!$T$9:$W$38,4,TRUE),O$15),"")</f>
        <v>8.1967213114753079E-3</v>
      </c>
      <c r="P31" s="243">
        <f>((1+O31)*(1+'General Data'!$M$25))-1</f>
        <v>9.2049180327866686E-3</v>
      </c>
      <c r="Q31" s="253">
        <f t="shared" si="12"/>
        <v>29719.45945945946</v>
      </c>
      <c r="R31" s="253">
        <f t="shared" si="3"/>
        <v>14856.299831007527</v>
      </c>
      <c r="S31" s="241">
        <f t="shared" si="4"/>
        <v>18520.184586627627</v>
      </c>
      <c r="T31" s="242">
        <f t="shared" si="5"/>
        <v>0</v>
      </c>
      <c r="U31" s="245">
        <f t="shared" si="6"/>
        <v>0</v>
      </c>
      <c r="V31" s="246">
        <f>IF($A31&lt;=$N$4,VLOOKUP(A31,'DOE Fuel Esc Rates'!$T$9:$W$38,2,TRUE),"")</f>
        <v>2030</v>
      </c>
      <c r="W31" s="247">
        <f t="shared" si="7"/>
        <v>655203.58323590364</v>
      </c>
      <c r="X31" s="241">
        <f t="shared" si="8"/>
        <v>408301.21153116954</v>
      </c>
      <c r="Y31" s="248">
        <f>IF(A31&lt;&gt;"",SUM(X$15:X31),"")</f>
        <v>8666052.0059873201</v>
      </c>
      <c r="Z31" s="249">
        <f>IF(A31&lt;&gt;"",LCC0!Y31-Y31,"")</f>
        <v>219888.7236594148</v>
      </c>
      <c r="AA31" s="312" t="str">
        <f>IF(A31&lt;&gt;"",IF(Z31&gt;0,IF(SUM(AA$16:AA30)=0,A30+(-Z30)/(Z31-Z30),""),""),"")</f>
        <v/>
      </c>
      <c r="AB31" s="198"/>
      <c r="AC31" s="251">
        <f t="shared" si="9"/>
        <v>655203.58323590364</v>
      </c>
      <c r="AE31" s="198"/>
    </row>
    <row r="32" spans="1:31" x14ac:dyDescent="0.2">
      <c r="A32" s="176">
        <f t="shared" si="13"/>
        <v>17</v>
      </c>
      <c r="B32" s="56"/>
      <c r="C32" s="51">
        <v>0</v>
      </c>
      <c r="D32" s="252">
        <f t="shared" si="10"/>
        <v>0</v>
      </c>
      <c r="E32" s="56"/>
      <c r="F32" s="51">
        <v>0</v>
      </c>
      <c r="G32" s="241">
        <f t="shared" si="0"/>
        <v>0</v>
      </c>
      <c r="H32" s="242">
        <f>IF($A32&lt;=$N$4,H$15*'General Data'!$S24,"")</f>
        <v>615380</v>
      </c>
      <c r="I32" s="243">
        <f>IF(A32&lt;&gt;"",IF(I$15="",VLOOKUP(A32,'DOE Fuel Esc Rates'!$T$9:$W$38,3,TRUE),I$15),"")</f>
        <v>0</v>
      </c>
      <c r="J32" s="243">
        <f>((1+I32)*(1+'General Data'!$M$25))-1</f>
        <v>9.9999999999988987E-4</v>
      </c>
      <c r="K32" s="253">
        <f t="shared" si="11"/>
        <v>625484.12377644423</v>
      </c>
      <c r="L32" s="253">
        <f t="shared" si="1"/>
        <v>372315.02044395532</v>
      </c>
      <c r="M32" s="241">
        <f t="shared" si="2"/>
        <v>378428.18149955524</v>
      </c>
      <c r="N32" s="242">
        <f>IF($A32&lt;=$N$4,N$15*'General Data'!$S24,"")</f>
        <v>23840</v>
      </c>
      <c r="O32" s="243">
        <f>IF(A32&lt;&gt;"",IF(O$15="",VLOOKUP(A32,'DOE Fuel Esc Rates'!$T$9:$W$38,4,TRUE),O$15),"")</f>
        <v>1.6260162601625883E-2</v>
      </c>
      <c r="P32" s="243">
        <f>((1+O32)*(1+'General Data'!$M$25))-1</f>
        <v>1.7276422764227473E-2</v>
      </c>
      <c r="Q32" s="253">
        <f t="shared" si="12"/>
        <v>30202.7027027027</v>
      </c>
      <c r="R32" s="253">
        <f t="shared" si="3"/>
        <v>14423.592068939346</v>
      </c>
      <c r="S32" s="241">
        <f t="shared" si="4"/>
        <v>18273.131844095453</v>
      </c>
      <c r="T32" s="242">
        <f t="shared" si="5"/>
        <v>0</v>
      </c>
      <c r="U32" s="245">
        <f t="shared" si="6"/>
        <v>0</v>
      </c>
      <c r="V32" s="246">
        <f>IF($A32&lt;=$N$4,VLOOKUP(A32,'DOE Fuel Esc Rates'!$T$9:$W$38,2,TRUE),"")</f>
        <v>2031</v>
      </c>
      <c r="W32" s="247">
        <f t="shared" si="7"/>
        <v>655686.82647914696</v>
      </c>
      <c r="X32" s="241">
        <f t="shared" si="8"/>
        <v>396701.31334365072</v>
      </c>
      <c r="Y32" s="248">
        <f>IF(A32&lt;&gt;"",SUM(X$15:X32),"")</f>
        <v>9062753.3193309717</v>
      </c>
      <c r="Z32" s="249">
        <f>IF(A32&lt;&gt;"",LCC0!Y32-Y32,"")</f>
        <v>246193.04965653643</v>
      </c>
      <c r="AA32" s="312" t="str">
        <f>IF(A32&lt;&gt;"",IF(Z32&gt;0,IF(SUM(AA$16:AA31)=0,A31+(-Z31)/(Z32-Z31),""),""),"")</f>
        <v/>
      </c>
      <c r="AB32" s="198"/>
      <c r="AC32" s="251">
        <f t="shared" si="9"/>
        <v>655686.82647914696</v>
      </c>
      <c r="AE32" s="198"/>
    </row>
    <row r="33" spans="1:31" x14ac:dyDescent="0.2">
      <c r="A33" s="176">
        <f t="shared" si="13"/>
        <v>18</v>
      </c>
      <c r="B33" s="56"/>
      <c r="C33" s="51">
        <v>0</v>
      </c>
      <c r="D33" s="252">
        <f t="shared" si="10"/>
        <v>0</v>
      </c>
      <c r="E33" s="56"/>
      <c r="F33" s="51">
        <v>0</v>
      </c>
      <c r="G33" s="241">
        <f t="shared" si="0"/>
        <v>0</v>
      </c>
      <c r="H33" s="242">
        <f>IF($A33&lt;=$N$4,H$15*'General Data'!$S25,"")</f>
        <v>615380</v>
      </c>
      <c r="I33" s="243">
        <f>IF(A33&lt;&gt;"",IF(I$15="",VLOOKUP(A33,'DOE Fuel Esc Rates'!$T$9:$W$38,3,TRUE),I$15),"")</f>
        <v>2.1745883814849876E-3</v>
      </c>
      <c r="J33" s="243">
        <f>((1+I33)*(1+'General Data'!$M$25))-1</f>
        <v>3.1767629698664646E-3</v>
      </c>
      <c r="K33" s="253">
        <f t="shared" si="11"/>
        <v>626844.29428481183</v>
      </c>
      <c r="L33" s="253">
        <f t="shared" si="1"/>
        <v>361470.89363490808</v>
      </c>
      <c r="M33" s="241">
        <f t="shared" si="2"/>
        <v>368204.95827793272</v>
      </c>
      <c r="N33" s="242">
        <f>IF($A33&lt;=$N$4,N$15*'General Data'!$S25,"")</f>
        <v>23840</v>
      </c>
      <c r="O33" s="243">
        <f>IF(A33&lt;&gt;"",IF(O$15="",VLOOKUP(A33,'DOE Fuel Esc Rates'!$T$9:$W$38,4,TRUE),O$15),"")</f>
        <v>1.3333333333333419E-2</v>
      </c>
      <c r="P33" s="243">
        <f>((1+O33)*(1+'General Data'!$M$25))-1</f>
        <v>1.434666666666673E-2</v>
      </c>
      <c r="Q33" s="253">
        <f t="shared" si="12"/>
        <v>30605.405405405407</v>
      </c>
      <c r="R33" s="253">
        <f t="shared" si="3"/>
        <v>14003.48744557218</v>
      </c>
      <c r="S33" s="241">
        <f t="shared" si="4"/>
        <v>17977.450099045367</v>
      </c>
      <c r="T33" s="242">
        <f t="shared" si="5"/>
        <v>0</v>
      </c>
      <c r="U33" s="245">
        <f t="shared" si="6"/>
        <v>0</v>
      </c>
      <c r="V33" s="246">
        <f>IF($A33&lt;=$N$4,VLOOKUP(A33,'DOE Fuel Esc Rates'!$T$9:$W$38,2,TRUE),"")</f>
        <v>2032</v>
      </c>
      <c r="W33" s="247">
        <f t="shared" si="7"/>
        <v>657449.69969021727</v>
      </c>
      <c r="X33" s="241">
        <f t="shared" si="8"/>
        <v>386182.40837697807</v>
      </c>
      <c r="Y33" s="248">
        <f>IF(A33&lt;&gt;"",SUM(X$15:X33),"")</f>
        <v>9448935.7277079504</v>
      </c>
      <c r="Z33" s="249">
        <f>IF(A33&lt;&gt;"",LCC0!Y33-Y33,"")</f>
        <v>271799.05511693843</v>
      </c>
      <c r="AA33" s="312" t="str">
        <f>IF(A33&lt;&gt;"",IF(Z33&gt;0,IF(SUM(AA$16:AA32)=0,A32+(-Z32)/(Z33-Z32),""),""),"")</f>
        <v/>
      </c>
      <c r="AB33" s="198"/>
      <c r="AC33" s="251">
        <f t="shared" si="9"/>
        <v>657449.69969021727</v>
      </c>
      <c r="AE33" s="198"/>
    </row>
    <row r="34" spans="1:31" x14ac:dyDescent="0.2">
      <c r="A34" s="176">
        <f t="shared" si="13"/>
        <v>19</v>
      </c>
      <c r="B34" s="56"/>
      <c r="C34" s="51">
        <v>0</v>
      </c>
      <c r="D34" s="252">
        <f t="shared" si="10"/>
        <v>0</v>
      </c>
      <c r="E34" s="56"/>
      <c r="F34" s="51">
        <v>0</v>
      </c>
      <c r="G34" s="241">
        <f t="shared" si="0"/>
        <v>0</v>
      </c>
      <c r="H34" s="242">
        <f>IF($A34&lt;=$N$4,H$15*'General Data'!$S26,"")</f>
        <v>615380</v>
      </c>
      <c r="I34" s="243">
        <f>IF(A34&lt;&gt;"",IF(I$15="",VLOOKUP(A34,'DOE Fuel Esc Rates'!$T$9:$W$38,3,TRUE),I$15),"")</f>
        <v>1.2399256044637319E-3</v>
      </c>
      <c r="J34" s="243">
        <f>((1+I34)*(1+'General Data'!$M$25))-1</f>
        <v>2.2411655300680344E-3</v>
      </c>
      <c r="K34" s="253">
        <f t="shared" si="11"/>
        <v>627621.53457530751</v>
      </c>
      <c r="L34" s="253">
        <f t="shared" si="1"/>
        <v>350942.61517952243</v>
      </c>
      <c r="M34" s="241">
        <f t="shared" si="2"/>
        <v>357923.79129455535</v>
      </c>
      <c r="N34" s="242">
        <f>IF($A34&lt;=$N$4,N$15*'General Data'!$S26,"")</f>
        <v>23840</v>
      </c>
      <c r="O34" s="243">
        <f>IF(A34&lt;&gt;"",IF(O$15="",VLOOKUP(A34,'DOE Fuel Esc Rates'!$T$9:$W$38,4,TRUE),O$15),"")</f>
        <v>1.2280701754385781E-2</v>
      </c>
      <c r="P34" s="243">
        <f>((1+O34)*(1+'General Data'!$M$25))-1</f>
        <v>1.3292982456140079E-2</v>
      </c>
      <c r="Q34" s="253">
        <f t="shared" si="12"/>
        <v>30981.261261261257</v>
      </c>
      <c r="R34" s="253">
        <f t="shared" si="3"/>
        <v>13595.618879196292</v>
      </c>
      <c r="S34" s="241">
        <f t="shared" si="4"/>
        <v>17668.18039030689</v>
      </c>
      <c r="T34" s="242">
        <f t="shared" si="5"/>
        <v>0</v>
      </c>
      <c r="U34" s="245">
        <f t="shared" si="6"/>
        <v>0</v>
      </c>
      <c r="V34" s="246">
        <f>IF($A34&lt;=$N$4,VLOOKUP(A34,'DOE Fuel Esc Rates'!$T$9:$W$38,2,TRUE),"")</f>
        <v>2033</v>
      </c>
      <c r="W34" s="247">
        <f t="shared" si="7"/>
        <v>658602.79583656881</v>
      </c>
      <c r="X34" s="241">
        <f t="shared" si="8"/>
        <v>375591.97168486222</v>
      </c>
      <c r="Y34" s="248">
        <f>IF(A34&lt;&gt;"",SUM(X$15:X34),"")</f>
        <v>9824527.6993928123</v>
      </c>
      <c r="Z34" s="249">
        <f>IF(A34&lt;&gt;"",LCC0!Y34-Y34,"")</f>
        <v>296702.04255161062</v>
      </c>
      <c r="AA34" s="312" t="str">
        <f>IF(A34&lt;&gt;"",IF(Z34&gt;0,IF(SUM(AA$16:AA33)=0,A33+(-Z33)/(Z34-Z33),""),""),"")</f>
        <v/>
      </c>
      <c r="AB34" s="198"/>
      <c r="AC34" s="251">
        <f t="shared" si="9"/>
        <v>658602.79583656881</v>
      </c>
      <c r="AE34" s="198"/>
    </row>
    <row r="35" spans="1:31" x14ac:dyDescent="0.2">
      <c r="A35" s="176">
        <f t="shared" si="13"/>
        <v>20</v>
      </c>
      <c r="B35" s="56"/>
      <c r="C35" s="51">
        <v>0</v>
      </c>
      <c r="D35" s="252">
        <f t="shared" si="10"/>
        <v>0</v>
      </c>
      <c r="E35" s="56" t="s">
        <v>50</v>
      </c>
      <c r="F35" s="51">
        <v>0</v>
      </c>
      <c r="G35" s="241">
        <f t="shared" si="0"/>
        <v>0</v>
      </c>
      <c r="H35" s="242">
        <f>IF($A35&lt;=$N$4,H$15*'General Data'!$S27,"")</f>
        <v>615380</v>
      </c>
      <c r="I35" s="243">
        <f>IF(A35&lt;&gt;"",IF(I$15="",VLOOKUP(A35,'DOE Fuel Esc Rates'!$T$9:$W$38,3,TRUE),I$15),"")</f>
        <v>2.1671826625386803E-3</v>
      </c>
      <c r="J35" s="243">
        <f>((1+I35)*(1+'General Data'!$M$25))-1</f>
        <v>3.1693498452010083E-3</v>
      </c>
      <c r="K35" s="253">
        <f t="shared" si="11"/>
        <v>628981.70508367498</v>
      </c>
      <c r="L35" s="253">
        <f t="shared" si="1"/>
        <v>340720.98561118683</v>
      </c>
      <c r="M35" s="241">
        <f t="shared" si="2"/>
        <v>348251.91993161064</v>
      </c>
      <c r="N35" s="242">
        <f>IF($A35&lt;=$N$4,N$15*'General Data'!$S27,"")</f>
        <v>23840</v>
      </c>
      <c r="O35" s="243">
        <f>IF(A35&lt;&gt;"",IF(O$15="",VLOOKUP(A35,'DOE Fuel Esc Rates'!$T$9:$W$38,4,TRUE),O$15),"")</f>
        <v>1.7331022530329365E-2</v>
      </c>
      <c r="P35" s="243">
        <f>((1+O35)*(1+'General Data'!$M$25))-1</f>
        <v>1.8348353552859686E-2</v>
      </c>
      <c r="Q35" s="253">
        <f t="shared" si="12"/>
        <v>31518.198198198195</v>
      </c>
      <c r="R35" s="253">
        <f t="shared" si="3"/>
        <v>13199.629979802226</v>
      </c>
      <c r="S35" s="241">
        <f t="shared" si="4"/>
        <v>17450.86215798177</v>
      </c>
      <c r="T35" s="242">
        <f t="shared" si="5"/>
        <v>0</v>
      </c>
      <c r="U35" s="245">
        <f t="shared" si="6"/>
        <v>0</v>
      </c>
      <c r="V35" s="246">
        <f>IF($A35&lt;=$N$4,VLOOKUP(A35,'DOE Fuel Esc Rates'!$T$9:$W$38,2,TRUE),"")</f>
        <v>2034</v>
      </c>
      <c r="W35" s="247">
        <f t="shared" si="7"/>
        <v>660499.90328187321</v>
      </c>
      <c r="X35" s="241">
        <f t="shared" si="8"/>
        <v>365702.78208959242</v>
      </c>
      <c r="Y35" s="248">
        <f>IF(A35&lt;&gt;"",SUM(X$15:X35),"")</f>
        <v>10190230.481482405</v>
      </c>
      <c r="Z35" s="249">
        <f>IF(A35&lt;&gt;"",LCC0!Y35-Y35,"")</f>
        <v>320948.24567485228</v>
      </c>
      <c r="AA35" s="312" t="str">
        <f>IF(A35&lt;&gt;"",IF(Z35&gt;0,IF(SUM(AA$16:AA34)=0,A34+(-Z34)/(Z35-Z34),""),""),"")</f>
        <v/>
      </c>
      <c r="AB35" s="198"/>
      <c r="AC35" s="251">
        <f t="shared" si="9"/>
        <v>660499.90328187321</v>
      </c>
      <c r="AE35" s="198"/>
    </row>
    <row r="36" spans="1:31" x14ac:dyDescent="0.2">
      <c r="A36" s="176">
        <f t="shared" si="13"/>
        <v>21</v>
      </c>
      <c r="B36" s="56"/>
      <c r="C36" s="51">
        <v>0</v>
      </c>
      <c r="D36" s="252">
        <f t="shared" si="10"/>
        <v>0</v>
      </c>
      <c r="E36" s="56"/>
      <c r="F36" s="51">
        <v>0</v>
      </c>
      <c r="G36" s="241">
        <f t="shared" si="0"/>
        <v>0</v>
      </c>
      <c r="H36" s="242">
        <f>IF($A36&lt;=$N$4,H$15*'General Data'!$S28,"")</f>
        <v>615380</v>
      </c>
      <c r="I36" s="243">
        <f>IF(A36&lt;&gt;"",IF(I$15="",VLOOKUP(A36,'DOE Fuel Esc Rates'!$T$9:$W$38,3,TRUE),I$15),"")</f>
        <v>2.780352177942591E-3</v>
      </c>
      <c r="J36" s="243">
        <f>((1+I36)*(1+'General Data'!$M$25))-1</f>
        <v>3.7831325301205254E-3</v>
      </c>
      <c r="K36" s="253">
        <f t="shared" si="11"/>
        <v>630730.49573729048</v>
      </c>
      <c r="L36" s="253">
        <f t="shared" si="1"/>
        <v>330797.07340891927</v>
      </c>
      <c r="M36" s="241">
        <f t="shared" si="2"/>
        <v>339048.72127734491</v>
      </c>
      <c r="N36" s="242">
        <f>IF($A36&lt;=$N$4,N$15*'General Data'!$S28,"")</f>
        <v>23840</v>
      </c>
      <c r="O36" s="243">
        <f>IF(A36&lt;&gt;"",IF(O$15="",VLOOKUP(A36,'DOE Fuel Esc Rates'!$T$9:$W$38,4,TRUE),O$15),"")</f>
        <v>1.7035775127768327E-2</v>
      </c>
      <c r="P36" s="243">
        <f>((1+O36)*(1+'General Data'!$M$25))-1</f>
        <v>1.8052810902895899E-2</v>
      </c>
      <c r="Q36" s="253">
        <f t="shared" si="12"/>
        <v>32055.135135135133</v>
      </c>
      <c r="R36" s="253">
        <f t="shared" si="3"/>
        <v>12815.174737672065</v>
      </c>
      <c r="S36" s="241">
        <f t="shared" si="4"/>
        <v>17231.21468105906</v>
      </c>
      <c r="T36" s="242">
        <f t="shared" si="5"/>
        <v>0</v>
      </c>
      <c r="U36" s="245">
        <f t="shared" si="6"/>
        <v>0</v>
      </c>
      <c r="V36" s="246">
        <f>IF($A36&lt;=$N$4,VLOOKUP(A36,'DOE Fuel Esc Rates'!$T$9:$W$38,2,TRUE),"")</f>
        <v>2035</v>
      </c>
      <c r="W36" s="247">
        <f t="shared" si="7"/>
        <v>662785.63087242562</v>
      </c>
      <c r="X36" s="241">
        <f t="shared" si="8"/>
        <v>356279.93595840398</v>
      </c>
      <c r="Y36" s="248">
        <f>IF(A36&lt;&gt;"",SUM(X$15:X36),"")</f>
        <v>10546510.417440809</v>
      </c>
      <c r="Z36" s="249">
        <f>IF(A36&lt;&gt;"",LCC0!Y36-Y36,"")</f>
        <v>344568.69212739542</v>
      </c>
      <c r="AA36" s="312" t="str">
        <f>IF(A36&lt;&gt;"",IF(Z36&gt;0,IF(SUM(AA$16:AA35)=0,A35+(-Z35)/(Z36-Z35),""),""),"")</f>
        <v/>
      </c>
      <c r="AB36" s="198"/>
      <c r="AC36" s="251">
        <f t="shared" si="9"/>
        <v>662785.63087242562</v>
      </c>
      <c r="AE36" s="198"/>
    </row>
    <row r="37" spans="1:31" x14ac:dyDescent="0.2">
      <c r="A37" s="176">
        <f t="shared" si="13"/>
        <v>22</v>
      </c>
      <c r="B37" s="56"/>
      <c r="C37" s="51">
        <v>0</v>
      </c>
      <c r="D37" s="252">
        <f t="shared" si="10"/>
        <v>0</v>
      </c>
      <c r="E37" s="56"/>
      <c r="F37" s="51">
        <v>0</v>
      </c>
      <c r="G37" s="241">
        <f t="shared" si="0"/>
        <v>0</v>
      </c>
      <c r="H37" s="242">
        <f>IF($A37&lt;=$N$4,H$15*'General Data'!$S29,"")</f>
        <v>615380</v>
      </c>
      <c r="I37" s="243">
        <f>IF(A37&lt;&gt;"",IF(I$15="",VLOOKUP(A37,'DOE Fuel Esc Rates'!$T$9:$W$38,3,TRUE),I$15),"")</f>
        <v>4.6210720887245316E-3</v>
      </c>
      <c r="J37" s="243">
        <f>((1+I37)*(1+'General Data'!$M$25))-1</f>
        <v>5.6256931608131833E-3</v>
      </c>
      <c r="K37" s="253">
        <f t="shared" si="11"/>
        <v>633645.14682664943</v>
      </c>
      <c r="L37" s="253">
        <f t="shared" si="1"/>
        <v>321162.20719312551</v>
      </c>
      <c r="M37" s="241">
        <f t="shared" si="2"/>
        <v>330694.65034947317</v>
      </c>
      <c r="N37" s="242">
        <f>IF($A37&lt;=$N$4,N$15*'General Data'!$S29,"")</f>
        <v>23840</v>
      </c>
      <c r="O37" s="243">
        <f>IF(A37&lt;&gt;"",IF(O$15="",VLOOKUP(A37,'DOE Fuel Esc Rates'!$T$9:$W$38,4,TRUE),O$15),"")</f>
        <v>1.0050251256281451E-2</v>
      </c>
      <c r="P37" s="243">
        <f>((1+O37)*(1+'General Data'!$M$25))-1</f>
        <v>1.1060301507537673E-2</v>
      </c>
      <c r="Q37" s="253">
        <f t="shared" si="12"/>
        <v>32377.297297297297</v>
      </c>
      <c r="R37" s="253">
        <f t="shared" si="3"/>
        <v>12441.91722104084</v>
      </c>
      <c r="S37" s="241">
        <f t="shared" si="4"/>
        <v>16897.468658305464</v>
      </c>
      <c r="T37" s="242">
        <f t="shared" si="5"/>
        <v>0</v>
      </c>
      <c r="U37" s="245">
        <f t="shared" si="6"/>
        <v>0</v>
      </c>
      <c r="V37" s="246">
        <f>IF($A37&lt;=$N$4,VLOOKUP(A37,'DOE Fuel Esc Rates'!$T$9:$W$38,2,TRUE),"")</f>
        <v>2036</v>
      </c>
      <c r="W37" s="247">
        <f t="shared" si="7"/>
        <v>666022.44412394671</v>
      </c>
      <c r="X37" s="241">
        <f t="shared" si="8"/>
        <v>347592.11900777865</v>
      </c>
      <c r="Y37" s="248">
        <f>IF(A37&lt;&gt;"",SUM(X$15:X37),"")</f>
        <v>10894102.536448589</v>
      </c>
      <c r="Z37" s="249">
        <f>IF(A37&lt;&gt;"",LCC0!Y37-Y37,"")</f>
        <v>367612.77558032237</v>
      </c>
      <c r="AA37" s="312" t="str">
        <f>IF(A37&lt;&gt;"",IF(Z37&gt;0,IF(SUM(AA$16:AA36)=0,A36+(-Z36)/(Z37-Z36),""),""),"")</f>
        <v/>
      </c>
      <c r="AB37" s="198"/>
      <c r="AC37" s="251">
        <f t="shared" si="9"/>
        <v>666022.44412394671</v>
      </c>
      <c r="AE37" s="198"/>
    </row>
    <row r="38" spans="1:31" x14ac:dyDescent="0.2">
      <c r="A38" s="176">
        <f t="shared" si="13"/>
        <v>23</v>
      </c>
      <c r="B38" s="56"/>
      <c r="C38" s="51">
        <v>0</v>
      </c>
      <c r="D38" s="252">
        <f t="shared" si="10"/>
        <v>0</v>
      </c>
      <c r="E38" s="56"/>
      <c r="F38" s="51">
        <v>0</v>
      </c>
      <c r="G38" s="241">
        <f t="shared" si="0"/>
        <v>0</v>
      </c>
      <c r="H38" s="242">
        <f>IF($A38&lt;=$N$4,H$15*'General Data'!$S30,"")</f>
        <v>615380</v>
      </c>
      <c r="I38" s="243">
        <f>IF(A38&lt;&gt;"",IF(I$15="",VLOOKUP(A38,'DOE Fuel Esc Rates'!$T$9:$W$38,3,TRUE),I$15),"")</f>
        <v>4.9064704078505272E-3</v>
      </c>
      <c r="J38" s="243">
        <f>((1+I38)*(1+'General Data'!$M$25))-1</f>
        <v>5.9113768782581566E-3</v>
      </c>
      <c r="K38" s="253">
        <f t="shared" si="11"/>
        <v>636754.10798863252</v>
      </c>
      <c r="L38" s="253">
        <f t="shared" si="1"/>
        <v>311807.9681486655</v>
      </c>
      <c r="M38" s="241">
        <f t="shared" si="2"/>
        <v>322638.05229655083</v>
      </c>
      <c r="N38" s="242">
        <f>IF($A38&lt;=$N$4,N$15*'General Data'!$S30,"")</f>
        <v>23840</v>
      </c>
      <c r="O38" s="243">
        <f>IF(A38&lt;&gt;"",IF(O$15="",VLOOKUP(A38,'DOE Fuel Esc Rates'!$T$9:$W$38,4,TRUE),O$15),"")</f>
        <v>1.8242122719734466E-2</v>
      </c>
      <c r="P38" s="243">
        <f>((1+O38)*(1+'General Data'!$M$25))-1</f>
        <v>1.9260364842454081E-2</v>
      </c>
      <c r="Q38" s="253">
        <f t="shared" si="12"/>
        <v>32967.927927927922</v>
      </c>
      <c r="R38" s="253">
        <f t="shared" si="3"/>
        <v>12079.531282563921</v>
      </c>
      <c r="S38" s="241">
        <f t="shared" si="4"/>
        <v>16704.57704390596</v>
      </c>
      <c r="T38" s="242">
        <f t="shared" si="5"/>
        <v>0</v>
      </c>
      <c r="U38" s="245">
        <f t="shared" si="6"/>
        <v>0</v>
      </c>
      <c r="V38" s="246">
        <f>IF($A38&lt;=$N$4,VLOOKUP(A38,'DOE Fuel Esc Rates'!$T$9:$W$38,2,TRUE),"")</f>
        <v>2037</v>
      </c>
      <c r="W38" s="247">
        <f t="shared" si="7"/>
        <v>669722.03591656045</v>
      </c>
      <c r="X38" s="241">
        <f t="shared" si="8"/>
        <v>339342.6293404568</v>
      </c>
      <c r="Y38" s="248">
        <f>IF(A38&lt;&gt;"",SUM(X$15:X38),"")</f>
        <v>11233445.165789045</v>
      </c>
      <c r="Z38" s="249">
        <f>IF(A38&lt;&gt;"",LCC0!Y38-Y38,"")</f>
        <v>390109.02579207532</v>
      </c>
      <c r="AA38" s="312" t="str">
        <f>IF(A38&lt;&gt;"",IF(Z38&gt;0,IF(SUM(AA$16:AA37)=0,A37+(-Z37)/(Z38-Z37),""),""),"")</f>
        <v/>
      </c>
      <c r="AB38" s="198"/>
      <c r="AC38" s="251">
        <f t="shared" si="9"/>
        <v>669722.03591656045</v>
      </c>
      <c r="AE38" s="198"/>
    </row>
    <row r="39" spans="1:31" x14ac:dyDescent="0.2">
      <c r="A39" s="176">
        <f t="shared" si="13"/>
        <v>24</v>
      </c>
      <c r="B39" s="56"/>
      <c r="C39" s="51">
        <v>0</v>
      </c>
      <c r="D39" s="252">
        <f t="shared" si="10"/>
        <v>0</v>
      </c>
      <c r="E39" s="56"/>
      <c r="F39" s="51">
        <v>0</v>
      </c>
      <c r="G39" s="241">
        <f t="shared" si="0"/>
        <v>0</v>
      </c>
      <c r="H39" s="242">
        <f>IF($A39&lt;=$N$4,H$15*'General Data'!$S31,"")</f>
        <v>615380</v>
      </c>
      <c r="I39" s="243">
        <f>IF(A39&lt;&gt;"",IF(I$15="",VLOOKUP(A39,'DOE Fuel Esc Rates'!$T$9:$W$38,3,TRUE),I$15),"")</f>
        <v>4.8825144949649069E-3</v>
      </c>
      <c r="J39" s="243">
        <f>((1+I39)*(1+'General Data'!$M$25))-1</f>
        <v>5.8873970094597272E-3</v>
      </c>
      <c r="K39" s="253">
        <f t="shared" si="11"/>
        <v>639863.06915061548</v>
      </c>
      <c r="L39" s="253">
        <f t="shared" si="1"/>
        <v>302726.18266860733</v>
      </c>
      <c r="M39" s="241">
        <f t="shared" si="2"/>
        <v>314770.23035292816</v>
      </c>
      <c r="N39" s="242">
        <f>IF($A39&lt;=$N$4,N$15*'General Data'!$S31,"")</f>
        <v>23840</v>
      </c>
      <c r="O39" s="243">
        <f>IF(A39&lt;&gt;"",IF(O$15="",VLOOKUP(A39,'DOE Fuel Esc Rates'!$T$9:$W$38,4,TRUE),O$15),"")</f>
        <v>2.6058631921824116E-2</v>
      </c>
      <c r="P39" s="243">
        <f>((1+O39)*(1+'General Data'!$M$25))-1</f>
        <v>2.7084690553745849E-2</v>
      </c>
      <c r="Q39" s="253">
        <f t="shared" si="12"/>
        <v>33827.027027027019</v>
      </c>
      <c r="R39" s="253">
        <f t="shared" si="3"/>
        <v>11727.700274333905</v>
      </c>
      <c r="S39" s="241">
        <f t="shared" si="4"/>
        <v>16640.655794662969</v>
      </c>
      <c r="T39" s="242">
        <f t="shared" si="5"/>
        <v>0</v>
      </c>
      <c r="U39" s="245">
        <f t="shared" si="6"/>
        <v>0</v>
      </c>
      <c r="V39" s="246">
        <f>IF($A39&lt;=$N$4,VLOOKUP(A39,'DOE Fuel Esc Rates'!$T$9:$W$38,2,TRUE),"")</f>
        <v>2038</v>
      </c>
      <c r="W39" s="247">
        <f t="shared" si="7"/>
        <v>673690.09617764247</v>
      </c>
      <c r="X39" s="241">
        <f t="shared" si="8"/>
        <v>331410.88614759111</v>
      </c>
      <c r="Y39" s="248">
        <f>IF(A39&lt;&gt;"",SUM(X$15:X39),"")</f>
        <v>11564856.051936636</v>
      </c>
      <c r="Z39" s="249">
        <f>IF(A39&lt;&gt;"",LCC0!Y39-Y39,"")</f>
        <v>412078.0051413402</v>
      </c>
      <c r="AA39" s="312" t="str">
        <f>IF(A39&lt;&gt;"",IF(Z39&gt;0,IF(SUM(AA$16:AA38)=0,A38+(-Z38)/(Z39-Z38),""),""),"")</f>
        <v/>
      </c>
      <c r="AB39" s="198"/>
      <c r="AC39" s="251">
        <f t="shared" si="9"/>
        <v>673690.09617764247</v>
      </c>
      <c r="AE39" s="198"/>
    </row>
    <row r="40" spans="1:31" x14ac:dyDescent="0.2">
      <c r="A40" s="176">
        <f t="shared" si="13"/>
        <v>25</v>
      </c>
      <c r="B40" s="56" t="s">
        <v>52</v>
      </c>
      <c r="C40" s="51">
        <v>0</v>
      </c>
      <c r="D40" s="252">
        <f t="shared" si="10"/>
        <v>0</v>
      </c>
      <c r="E40" s="56"/>
      <c r="F40" s="51">
        <v>0</v>
      </c>
      <c r="G40" s="241">
        <f t="shared" si="0"/>
        <v>0</v>
      </c>
      <c r="H40" s="242">
        <f>IF($A40&lt;=$N$4,H$15*'General Data'!$S32,"")</f>
        <v>615380</v>
      </c>
      <c r="I40" s="243">
        <f>IF(A40&lt;&gt;"",IF(I$15="",VLOOKUP(A40,'DOE Fuel Esc Rates'!$T$9:$W$38,3,TRUE),I$15),"")</f>
        <v>5.1624658366231646E-3</v>
      </c>
      <c r="J40" s="243">
        <f>((1+I40)*(1+'General Data'!$M$25))-1</f>
        <v>6.167628302459649E-3</v>
      </c>
      <c r="K40" s="253">
        <f t="shared" si="11"/>
        <v>643166.34038522234</v>
      </c>
      <c r="L40" s="253">
        <f t="shared" si="1"/>
        <v>293908.91521224013</v>
      </c>
      <c r="M40" s="241">
        <f t="shared" si="2"/>
        <v>307179.82612962247</v>
      </c>
      <c r="N40" s="242">
        <f>IF($A40&lt;=$N$4,N$15*'General Data'!$S32,"")</f>
        <v>23840</v>
      </c>
      <c r="O40" s="243">
        <f>IF(A40&lt;&gt;"",IF(O$15="",VLOOKUP(A40,'DOE Fuel Esc Rates'!$T$9:$W$38,4,TRUE),O$15),"")</f>
        <v>2.4603174603174738E-2</v>
      </c>
      <c r="P40" s="243">
        <f>((1+O40)*(1+'General Data'!$M$25))-1</f>
        <v>2.5627777777777805E-2</v>
      </c>
      <c r="Q40" s="253">
        <f t="shared" si="12"/>
        <v>34659.279279279275</v>
      </c>
      <c r="R40" s="253">
        <f t="shared" si="3"/>
        <v>11386.116771197967</v>
      </c>
      <c r="S40" s="241">
        <f t="shared" si="4"/>
        <v>16553.464810379024</v>
      </c>
      <c r="T40" s="242">
        <f t="shared" si="5"/>
        <v>0</v>
      </c>
      <c r="U40" s="245">
        <f t="shared" si="6"/>
        <v>0</v>
      </c>
      <c r="V40" s="246">
        <f>IF($A40&lt;=$N$4,VLOOKUP(A40,'DOE Fuel Esc Rates'!$T$9:$W$38,2,TRUE),"")</f>
        <v>2039</v>
      </c>
      <c r="W40" s="247">
        <f t="shared" si="7"/>
        <v>677825.61966450163</v>
      </c>
      <c r="X40" s="241">
        <f t="shared" si="8"/>
        <v>323733.29094000149</v>
      </c>
      <c r="Y40" s="248">
        <f>IF(A40&lt;&gt;"",SUM(X$15:X40),"")</f>
        <v>11888589.342876637</v>
      </c>
      <c r="Z40" s="249">
        <f>IF(A40&lt;&gt;"",LCC0!Y40-Y40,"")</f>
        <v>433536.7205682043</v>
      </c>
      <c r="AA40" s="312" t="str">
        <f>IF(A40&lt;&gt;"",IF(Z40&gt;0,IF(SUM(AA$16:AA39)=0,A39+(-Z39)/(Z40-Z39),""),""),"")</f>
        <v/>
      </c>
      <c r="AB40" s="198"/>
      <c r="AC40" s="251">
        <f t="shared" si="9"/>
        <v>677825.61966450163</v>
      </c>
      <c r="AE40" s="198"/>
    </row>
    <row r="41" spans="1:31" s="124" customFormat="1" ht="11.25" customHeight="1" thickBot="1" x14ac:dyDescent="0.25">
      <c r="A41" s="254"/>
      <c r="B41" s="255"/>
      <c r="C41" s="256"/>
      <c r="D41" s="257"/>
      <c r="E41" s="256"/>
      <c r="F41" s="256"/>
      <c r="G41" s="258"/>
      <c r="H41" s="259"/>
      <c r="I41" s="260"/>
      <c r="J41" s="260"/>
      <c r="K41" s="253"/>
      <c r="L41" s="253"/>
      <c r="M41" s="241"/>
      <c r="N41" s="261"/>
      <c r="O41" s="260"/>
      <c r="P41" s="260"/>
      <c r="Q41" s="260"/>
      <c r="R41" s="253"/>
      <c r="S41" s="241"/>
      <c r="T41" s="251"/>
      <c r="U41" s="258"/>
      <c r="V41" s="129"/>
      <c r="W41" s="129"/>
      <c r="X41" s="262"/>
      <c r="Y41" s="263"/>
      <c r="Z41" s="264"/>
      <c r="AA41" s="265"/>
    </row>
    <row r="42" spans="1:31" s="124" customFormat="1" ht="2.25" customHeight="1" x14ac:dyDescent="0.2">
      <c r="A42" s="266"/>
      <c r="B42" s="267"/>
      <c r="C42" s="267"/>
      <c r="D42" s="268"/>
      <c r="E42" s="267"/>
      <c r="F42" s="267"/>
      <c r="G42" s="269"/>
      <c r="H42" s="270"/>
      <c r="I42" s="271"/>
      <c r="J42" s="271"/>
      <c r="K42" s="271"/>
      <c r="L42" s="271"/>
      <c r="M42" s="272"/>
      <c r="N42" s="271"/>
      <c r="O42" s="271"/>
      <c r="P42" s="271"/>
      <c r="Q42" s="271"/>
      <c r="R42" s="271"/>
      <c r="S42" s="272"/>
      <c r="T42" s="273"/>
      <c r="U42" s="269"/>
      <c r="V42" s="273"/>
      <c r="W42" s="273"/>
      <c r="X42" s="269"/>
      <c r="Y42" s="274"/>
      <c r="Z42" s="273"/>
      <c r="AA42" s="275"/>
    </row>
    <row r="43" spans="1:31" s="289" customFormat="1" x14ac:dyDescent="0.2">
      <c r="A43" s="276"/>
      <c r="B43" s="277"/>
      <c r="C43" s="278">
        <f>SUM(C15:C40)</f>
        <v>383760</v>
      </c>
      <c r="D43" s="279">
        <f>+SUM(D15:D40)</f>
        <v>383760</v>
      </c>
      <c r="E43" s="278"/>
      <c r="F43" s="278">
        <f>SUM(F15:F40)</f>
        <v>0</v>
      </c>
      <c r="G43" s="280">
        <f>+SUM(G15:G40)</f>
        <v>0</v>
      </c>
      <c r="H43" s="281">
        <f>SUM(H16:H40)</f>
        <v>15384500</v>
      </c>
      <c r="I43" s="129"/>
      <c r="J43" s="129"/>
      <c r="K43" s="282">
        <f>SUM(K16:K40)</f>
        <v>15801295.105778335</v>
      </c>
      <c r="L43" s="282">
        <f>SUM(L16:L40)</f>
        <v>10715702.826258669</v>
      </c>
      <c r="M43" s="280">
        <f>+SUM(M16:M40)</f>
        <v>11006184.920578603</v>
      </c>
      <c r="N43" s="281">
        <f>SUM(N16:N40)</f>
        <v>596000</v>
      </c>
      <c r="O43" s="283"/>
      <c r="P43" s="129"/>
      <c r="Q43" s="282">
        <f>SUM(Q16:Q40)</f>
        <v>730798.01801801799</v>
      </c>
      <c r="R43" s="282">
        <f>SUM(R16:R40)</f>
        <v>415129.44096006802</v>
      </c>
      <c r="S43" s="280">
        <f>+SUM(S16:S40)</f>
        <v>498644.42229803756</v>
      </c>
      <c r="T43" s="281">
        <f>SUM(T16:T40)</f>
        <v>0</v>
      </c>
      <c r="U43" s="284">
        <f>+SUM(U16:U40)</f>
        <v>0</v>
      </c>
      <c r="V43" s="283"/>
      <c r="W43" s="285">
        <f>SUM(W15:W40)</f>
        <v>16915853.123796351</v>
      </c>
      <c r="X43" s="284">
        <f>+SUM(X15:X40)</f>
        <v>11888589.342876637</v>
      </c>
      <c r="Y43" s="286">
        <f>X43</f>
        <v>11888589.342876637</v>
      </c>
      <c r="Z43" s="287" t="s">
        <v>49</v>
      </c>
      <c r="AA43" s="313">
        <f>IF(SUM(AA16:AA40)&gt;0,SUM(AA16:AA40),"&gt;"&amp;T4)</f>
        <v>8.6757711145999323</v>
      </c>
      <c r="AC43" s="289">
        <f>+SUM(AC15:AC40)</f>
        <v>16532093.123796351</v>
      </c>
    </row>
    <row r="44" spans="1:31" s="124" customFormat="1" ht="5.25" customHeight="1" thickBot="1" x14ac:dyDescent="0.25">
      <c r="A44" s="290"/>
      <c r="B44" s="291"/>
      <c r="C44" s="291"/>
      <c r="D44" s="292"/>
      <c r="E44" s="291"/>
      <c r="F44" s="291"/>
      <c r="G44" s="293"/>
      <c r="H44" s="291"/>
      <c r="I44" s="294"/>
      <c r="J44" s="294"/>
      <c r="K44" s="294"/>
      <c r="L44" s="294"/>
      <c r="M44" s="293"/>
      <c r="N44" s="294"/>
      <c r="O44" s="294"/>
      <c r="P44" s="294"/>
      <c r="Q44" s="294"/>
      <c r="R44" s="294"/>
      <c r="S44" s="293"/>
      <c r="T44" s="294"/>
      <c r="U44" s="293"/>
      <c r="V44" s="294"/>
      <c r="W44" s="294"/>
      <c r="X44" s="293"/>
      <c r="Y44" s="295"/>
      <c r="Z44" s="294"/>
      <c r="AA44" s="293"/>
    </row>
    <row r="45" spans="1:31" s="124" customFormat="1" ht="6" customHeight="1" x14ac:dyDescent="0.2">
      <c r="A45" s="129"/>
      <c r="B45" s="296"/>
      <c r="C45" s="296"/>
      <c r="D45" s="296"/>
      <c r="E45" s="296"/>
      <c r="F45" s="74"/>
      <c r="G45" s="74"/>
      <c r="H45" s="296"/>
      <c r="I45" s="74"/>
      <c r="J45" s="74"/>
      <c r="K45" s="74"/>
      <c r="L45" s="74"/>
      <c r="M45" s="74"/>
      <c r="N45" s="74"/>
      <c r="O45" s="74"/>
      <c r="P45" s="74"/>
      <c r="Q45" s="74"/>
      <c r="R45" s="74"/>
      <c r="S45" s="74"/>
      <c r="T45" s="74"/>
      <c r="U45" s="74"/>
      <c r="V45" s="74"/>
      <c r="W45" s="74"/>
      <c r="X45" s="74"/>
      <c r="AA45" s="141"/>
    </row>
    <row r="46" spans="1:31" x14ac:dyDescent="0.2">
      <c r="B46" s="297" t="s">
        <v>53</v>
      </c>
      <c r="C46" s="298" t="s">
        <v>1</v>
      </c>
      <c r="I46" s="299"/>
      <c r="J46" s="299"/>
      <c r="M46" s="251"/>
      <c r="P46" s="299"/>
      <c r="S46" s="300"/>
      <c r="U46" s="301"/>
      <c r="X46" s="302"/>
    </row>
    <row r="47" spans="1:31" x14ac:dyDescent="0.2">
      <c r="C47" s="304" t="s">
        <v>201</v>
      </c>
      <c r="M47" s="251"/>
      <c r="X47" s="302"/>
    </row>
    <row r="48" spans="1:31" x14ac:dyDescent="0.2">
      <c r="L48" s="305"/>
      <c r="X48" s="302"/>
    </row>
    <row r="49" spans="8:24" x14ac:dyDescent="0.2">
      <c r="H49" s="306"/>
      <c r="L49" s="305"/>
      <c r="M49" s="251"/>
    </row>
    <row r="50" spans="8:24" x14ac:dyDescent="0.2">
      <c r="H50" s="255"/>
      <c r="M50" s="251"/>
      <c r="X50" s="307"/>
    </row>
    <row r="51" spans="8:24" x14ac:dyDescent="0.2">
      <c r="M51" s="308"/>
      <c r="X51" s="309"/>
    </row>
    <row r="52" spans="8:24" x14ac:dyDescent="0.2">
      <c r="H52" s="306"/>
      <c r="M52" s="308"/>
    </row>
    <row r="53" spans="8:24" x14ac:dyDescent="0.2">
      <c r="H53" s="306"/>
    </row>
    <row r="54" spans="8:24" x14ac:dyDescent="0.2">
      <c r="H54" s="310"/>
    </row>
    <row r="56" spans="8:24" x14ac:dyDescent="0.2">
      <c r="H56" s="311"/>
      <c r="M56" s="307"/>
    </row>
  </sheetData>
  <phoneticPr fontId="0" type="noConversion"/>
  <printOptions horizontalCentered="1"/>
  <pageMargins left="0.35" right="0.35" top="0.75" bottom="0.75" header="0.5" footer="0.5"/>
  <pageSetup paperSize="4" scale="70" orientation="landscape" horizontalDpi="4294967292"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AE56"/>
  <sheetViews>
    <sheetView zoomScale="80" workbookViewId="0">
      <pane xSplit="1" topLeftCell="B1" activePane="topRight" state="frozenSplit"/>
      <selection activeCell="B4" sqref="B4"/>
      <selection pane="topRight" activeCell="B4" sqref="B4"/>
    </sheetView>
  </sheetViews>
  <sheetFormatPr defaultRowHeight="12.75" x14ac:dyDescent="0.2"/>
  <cols>
    <col min="1" max="1" width="4.5703125" style="129" customWidth="1"/>
    <col min="2" max="3" width="12" style="296" customWidth="1"/>
    <col min="4" max="5" width="10.7109375" style="296" customWidth="1"/>
    <col min="6" max="7" width="11.140625" style="74" customWidth="1"/>
    <col min="8" max="8" width="12.5703125" style="296" customWidth="1"/>
    <col min="9" max="9" width="10.28515625" style="74" customWidth="1"/>
    <col min="10" max="10" width="10.28515625" style="74" hidden="1" customWidth="1"/>
    <col min="11" max="12" width="13.42578125" style="74" hidden="1" customWidth="1"/>
    <col min="13" max="13" width="14.7109375" style="74" customWidth="1"/>
    <col min="14" max="14" width="10.5703125" style="74" customWidth="1"/>
    <col min="15" max="15" width="11" style="74" customWidth="1"/>
    <col min="16" max="16" width="10.28515625" style="74" hidden="1" customWidth="1"/>
    <col min="17" max="17" width="11" style="74" hidden="1" customWidth="1"/>
    <col min="18" max="18" width="12.140625" style="74" hidden="1" customWidth="1"/>
    <col min="19" max="19" width="12" style="74" customWidth="1"/>
    <col min="20" max="20" width="11.28515625" style="74" customWidth="1"/>
    <col min="21" max="21" width="12.7109375" style="74" customWidth="1"/>
    <col min="22" max="22" width="6" style="74" customWidth="1"/>
    <col min="23" max="23" width="15.28515625" style="74" hidden="1" customWidth="1"/>
    <col min="24" max="24" width="16" style="74" customWidth="1"/>
    <col min="25" max="25" width="14.5703125" style="74" customWidth="1"/>
    <col min="26" max="26" width="14.42578125" style="74" customWidth="1"/>
    <col min="27" max="27" width="11.85546875" style="303" customWidth="1"/>
    <col min="28" max="28" width="9.140625" style="74"/>
    <col min="29" max="29" width="10" style="74" hidden="1" customWidth="1"/>
    <col min="30" max="16384" width="9.140625" style="74"/>
  </cols>
  <sheetData>
    <row r="1" spans="1:31" s="124" customFormat="1" ht="13.5" thickBot="1" x14ac:dyDescent="0.25">
      <c r="A1" s="139"/>
      <c r="B1" s="140"/>
      <c r="C1" s="140"/>
      <c r="D1" s="140"/>
      <c r="E1" s="140"/>
      <c r="H1" s="140"/>
      <c r="AA1" s="141"/>
    </row>
    <row r="2" spans="1:31" ht="5.25" customHeight="1" thickTop="1" x14ac:dyDescent="0.2">
      <c r="A2" s="142"/>
      <c r="B2" s="143"/>
      <c r="C2" s="143"/>
      <c r="D2" s="143"/>
      <c r="E2" s="143"/>
      <c r="F2" s="143"/>
      <c r="G2" s="143"/>
      <c r="H2" s="144"/>
      <c r="I2" s="144"/>
      <c r="J2" s="144"/>
      <c r="K2" s="144"/>
      <c r="L2" s="144"/>
      <c r="M2" s="144"/>
      <c r="N2" s="144"/>
      <c r="O2" s="144"/>
      <c r="P2" s="144"/>
      <c r="Q2" s="144"/>
      <c r="R2" s="144"/>
      <c r="S2" s="144"/>
      <c r="T2" s="144"/>
      <c r="U2" s="144"/>
      <c r="V2" s="144"/>
      <c r="W2" s="144"/>
      <c r="X2" s="145"/>
      <c r="Y2" s="146"/>
      <c r="Z2" s="144"/>
      <c r="AA2" s="145"/>
    </row>
    <row r="3" spans="1:31" ht="15.75" x14ac:dyDescent="0.25">
      <c r="A3" s="147"/>
      <c r="B3" s="69" t="s">
        <v>236</v>
      </c>
      <c r="C3" s="69"/>
      <c r="D3" s="148"/>
      <c r="E3" s="148"/>
      <c r="G3" s="149" t="s">
        <v>190</v>
      </c>
      <c r="H3" s="150" t="str">
        <f>'General Data'!A12&amp;"/"&amp;'General Data'!H12</f>
        <v>4/2015</v>
      </c>
      <c r="M3" s="151" t="s">
        <v>193</v>
      </c>
      <c r="N3" s="152">
        <f>N4-H4</f>
        <v>25</v>
      </c>
      <c r="R3" s="153"/>
      <c r="S3" s="149" t="s">
        <v>11</v>
      </c>
      <c r="T3" s="154">
        <f>'General Data'!H10</f>
        <v>2015</v>
      </c>
      <c r="V3" s="149" t="s">
        <v>12</v>
      </c>
      <c r="W3" s="149"/>
      <c r="X3" s="155" t="str">
        <f>IF('General Data'!$H$21=1,"Northeast",IF('General Data'!$H$21=2,"Midwest",IF('General Data'!$H$21=3,"South",IF('General Data'!$H$21=4,"West",IF('General Data'!$H$21=5,"United States Average","error")))))</f>
        <v>West</v>
      </c>
      <c r="Y3" s="156"/>
      <c r="Z3" s="157"/>
      <c r="AA3" s="155"/>
    </row>
    <row r="4" spans="1:31" ht="15.75" x14ac:dyDescent="0.25">
      <c r="A4" s="147"/>
      <c r="B4" s="69" t="s">
        <v>237</v>
      </c>
      <c r="C4" s="69"/>
      <c r="D4" s="148"/>
      <c r="E4" s="148"/>
      <c r="G4" s="158" t="s">
        <v>195</v>
      </c>
      <c r="H4" s="159">
        <f>'General Data'!H13-'General Data'!H12</f>
        <v>0</v>
      </c>
      <c r="M4" s="151" t="s">
        <v>194</v>
      </c>
      <c r="N4" s="160">
        <f>'General Data'!$H$18</f>
        <v>25</v>
      </c>
      <c r="R4" s="153"/>
      <c r="S4" s="151" t="s">
        <v>255</v>
      </c>
      <c r="T4" s="161">
        <f>'General Data'!H15</f>
        <v>0.03</v>
      </c>
      <c r="V4" s="149" t="s">
        <v>13</v>
      </c>
      <c r="W4" s="149"/>
      <c r="X4" s="155" t="str">
        <f>IF('General Data'!$H$24=1,"Residential",IF('General Data'!$H$24=2,"Commercial",IF('General Data'!$H$24=3,"Industrial","error")))</f>
        <v>Commercial</v>
      </c>
      <c r="Y4" s="156"/>
      <c r="Z4" s="157"/>
      <c r="AA4" s="155"/>
    </row>
    <row r="5" spans="1:31" ht="17.25" customHeight="1" thickBot="1" x14ac:dyDescent="0.25">
      <c r="A5" s="162"/>
      <c r="B5" s="163"/>
      <c r="C5" s="163"/>
      <c r="D5" s="163"/>
      <c r="E5" s="163"/>
      <c r="F5" s="163"/>
      <c r="G5" s="163"/>
      <c r="H5" s="163"/>
      <c r="I5" s="164"/>
      <c r="J5" s="164"/>
      <c r="K5" s="164"/>
      <c r="L5" s="164"/>
      <c r="M5" s="164"/>
      <c r="N5" s="164"/>
      <c r="O5" s="164"/>
      <c r="P5" s="164"/>
      <c r="Q5" s="164"/>
      <c r="R5" s="164"/>
      <c r="S5" s="350" t="s">
        <v>254</v>
      </c>
      <c r="T5" s="351">
        <f>'General Data'!H16</f>
        <v>0.03</v>
      </c>
      <c r="U5" s="164"/>
      <c r="V5" s="164"/>
      <c r="W5" s="164"/>
      <c r="X5" s="165"/>
      <c r="Y5" s="166"/>
      <c r="Z5" s="164"/>
      <c r="AA5" s="165"/>
    </row>
    <row r="6" spans="1:31" ht="5.25" customHeight="1" thickTop="1" x14ac:dyDescent="0.2">
      <c r="A6" s="167"/>
      <c r="B6" s="168"/>
      <c r="C6" s="168"/>
      <c r="D6" s="168"/>
      <c r="E6" s="168"/>
      <c r="F6" s="169"/>
      <c r="G6" s="170"/>
      <c r="H6" s="171"/>
      <c r="I6" s="172"/>
      <c r="J6" s="172"/>
      <c r="K6" s="172"/>
      <c r="L6" s="173"/>
      <c r="M6" s="174"/>
      <c r="N6" s="172"/>
      <c r="O6" s="172"/>
      <c r="P6" s="172"/>
      <c r="Q6" s="172"/>
      <c r="R6" s="173"/>
      <c r="S6" s="174"/>
      <c r="T6" s="172"/>
      <c r="U6" s="170"/>
      <c r="X6" s="174"/>
      <c r="Y6" s="175"/>
      <c r="Z6" s="124"/>
      <c r="AA6" s="174"/>
    </row>
    <row r="7" spans="1:31" x14ac:dyDescent="0.2">
      <c r="A7" s="176"/>
      <c r="B7" s="177" t="s">
        <v>14</v>
      </c>
      <c r="C7" s="177"/>
      <c r="D7" s="177"/>
      <c r="E7" s="177"/>
      <c r="F7" s="178"/>
      <c r="G7" s="179"/>
      <c r="H7" s="180" t="s">
        <v>15</v>
      </c>
      <c r="I7" s="181"/>
      <c r="J7" s="181"/>
      <c r="K7" s="181"/>
      <c r="L7" s="182"/>
      <c r="M7" s="183"/>
      <c r="N7" s="180" t="str">
        <f>IF('General Data'!$H$27=1,"NATURAL GAS COSTS",IF('General Data'!$H$27=2,"LPG FUEL COSTS",IF('General Data'!$H$27=3,"DISTILATE FUEL OIL COSTS",IF('General Data'!$H$27=4,"RESIDUAL FUEL OIL COSTS",IF('General Data'!$H$27=5,"COAL COSTS",IF('General Data'!$H$27=0,"NO 2ND FUEL USED","error?"))))))</f>
        <v>NATURAL GAS COSTS</v>
      </c>
      <c r="O7" s="181"/>
      <c r="P7" s="181"/>
      <c r="Q7" s="181"/>
      <c r="R7" s="182"/>
      <c r="S7" s="183"/>
      <c r="T7" s="180" t="s">
        <v>16</v>
      </c>
      <c r="U7" s="179"/>
      <c r="V7" s="180" t="s">
        <v>17</v>
      </c>
      <c r="W7" s="180"/>
      <c r="X7" s="183"/>
      <c r="Y7" s="184" t="s">
        <v>151</v>
      </c>
      <c r="Z7" s="177"/>
      <c r="AA7" s="185"/>
    </row>
    <row r="8" spans="1:31" x14ac:dyDescent="0.2">
      <c r="A8" s="176"/>
      <c r="B8" s="177"/>
      <c r="C8" s="177"/>
      <c r="D8" s="177"/>
      <c r="E8" s="177"/>
      <c r="F8" s="178"/>
      <c r="G8" s="179"/>
      <c r="H8" s="180" t="s">
        <v>18</v>
      </c>
      <c r="I8" s="181"/>
      <c r="J8" s="181"/>
      <c r="K8" s="181"/>
      <c r="L8" s="182"/>
      <c r="M8" s="183"/>
      <c r="N8" s="180" t="s">
        <v>18</v>
      </c>
      <c r="O8" s="181"/>
      <c r="P8" s="181"/>
      <c r="Q8" s="181"/>
      <c r="R8" s="182"/>
      <c r="S8" s="183"/>
      <c r="T8" s="180" t="s">
        <v>19</v>
      </c>
      <c r="U8" s="179"/>
      <c r="V8" s="180" t="s">
        <v>18</v>
      </c>
      <c r="W8" s="180"/>
      <c r="X8" s="186"/>
      <c r="Y8" s="187" t="s">
        <v>20</v>
      </c>
      <c r="Z8" s="188" t="s">
        <v>21</v>
      </c>
      <c r="AA8" s="189" t="s">
        <v>54</v>
      </c>
      <c r="AC8" s="190" t="s">
        <v>61</v>
      </c>
    </row>
    <row r="9" spans="1:31" ht="6" customHeight="1" x14ac:dyDescent="0.2">
      <c r="A9" s="176"/>
      <c r="B9" s="177"/>
      <c r="C9" s="177"/>
      <c r="D9" s="177"/>
      <c r="E9" s="177"/>
      <c r="F9" s="178"/>
      <c r="G9" s="179"/>
      <c r="H9" s="180"/>
      <c r="I9" s="181"/>
      <c r="J9" s="181"/>
      <c r="K9" s="181"/>
      <c r="L9" s="182"/>
      <c r="M9" s="183"/>
      <c r="N9" s="180"/>
      <c r="O9" s="181"/>
      <c r="P9" s="181"/>
      <c r="Q9" s="181"/>
      <c r="R9" s="182"/>
      <c r="S9" s="183"/>
      <c r="T9" s="180"/>
      <c r="U9" s="179"/>
      <c r="V9" s="180"/>
      <c r="W9" s="180"/>
      <c r="X9" s="183"/>
      <c r="Y9" s="191"/>
      <c r="Z9" s="192"/>
      <c r="AA9" s="183"/>
      <c r="AC9" s="190"/>
    </row>
    <row r="10" spans="1:31" s="198" customFormat="1" x14ac:dyDescent="0.2">
      <c r="A10" s="176"/>
      <c r="B10" s="153"/>
      <c r="C10" s="193" t="s">
        <v>22</v>
      </c>
      <c r="D10" s="193"/>
      <c r="E10" s="193"/>
      <c r="F10" s="188" t="s">
        <v>23</v>
      </c>
      <c r="G10" s="170"/>
      <c r="H10" s="194" t="s">
        <v>24</v>
      </c>
      <c r="I10" s="194" t="str">
        <f>'DOE Fuel Esc Rates'!H8</f>
        <v>Electric</v>
      </c>
      <c r="J10" s="194" t="str">
        <f>I10</f>
        <v>Electric</v>
      </c>
      <c r="K10" s="194" t="s">
        <v>25</v>
      </c>
      <c r="L10" s="173" t="s">
        <v>26</v>
      </c>
      <c r="M10" s="195" t="s">
        <v>26</v>
      </c>
      <c r="N10" s="194" t="s">
        <v>24</v>
      </c>
      <c r="O10" s="194" t="str">
        <f>'DOE Fuel Esc Rates'!$W$5</f>
        <v>Nat Gas</v>
      </c>
      <c r="P10" s="194" t="str">
        <f>O10</f>
        <v>Nat Gas</v>
      </c>
      <c r="Q10" s="194" t="s">
        <v>25</v>
      </c>
      <c r="R10" s="173" t="s">
        <v>26</v>
      </c>
      <c r="S10" s="195" t="s">
        <v>26</v>
      </c>
      <c r="T10" s="194" t="s">
        <v>24</v>
      </c>
      <c r="U10" s="195" t="s">
        <v>26</v>
      </c>
      <c r="V10" s="172"/>
      <c r="W10" s="194" t="s">
        <v>173</v>
      </c>
      <c r="X10" s="195" t="s">
        <v>26</v>
      </c>
      <c r="Y10" s="196" t="s">
        <v>26</v>
      </c>
      <c r="Z10" s="197" t="s">
        <v>26</v>
      </c>
      <c r="AA10" s="195"/>
      <c r="AB10" s="74"/>
      <c r="AC10" s="190" t="s">
        <v>173</v>
      </c>
    </row>
    <row r="11" spans="1:31" s="198" customFormat="1" x14ac:dyDescent="0.2">
      <c r="A11" s="176"/>
      <c r="B11" s="199"/>
      <c r="C11" s="200" t="s">
        <v>27</v>
      </c>
      <c r="D11" s="201"/>
      <c r="E11" s="201"/>
      <c r="F11" s="200" t="s">
        <v>28</v>
      </c>
      <c r="G11" s="179"/>
      <c r="H11" s="194" t="s">
        <v>29</v>
      </c>
      <c r="I11" s="194" t="s">
        <v>30</v>
      </c>
      <c r="J11" s="194" t="s">
        <v>200</v>
      </c>
      <c r="K11" s="173" t="s">
        <v>31</v>
      </c>
      <c r="L11" s="173" t="s">
        <v>31</v>
      </c>
      <c r="M11" s="195" t="s">
        <v>32</v>
      </c>
      <c r="N11" s="194" t="s">
        <v>29</v>
      </c>
      <c r="O11" s="194" t="s">
        <v>30</v>
      </c>
      <c r="P11" s="194" t="s">
        <v>200</v>
      </c>
      <c r="Q11" s="173" t="s">
        <v>31</v>
      </c>
      <c r="R11" s="173" t="s">
        <v>31</v>
      </c>
      <c r="S11" s="195" t="str">
        <f>O10</f>
        <v>Nat Gas</v>
      </c>
      <c r="T11" s="194" t="s">
        <v>29</v>
      </c>
      <c r="U11" s="202" t="s">
        <v>29</v>
      </c>
      <c r="V11" s="172"/>
      <c r="W11" s="203" t="s">
        <v>34</v>
      </c>
      <c r="X11" s="202" t="s">
        <v>34</v>
      </c>
      <c r="Y11" s="204" t="s">
        <v>152</v>
      </c>
      <c r="Z11" s="203" t="s">
        <v>152</v>
      </c>
      <c r="AA11" s="202" t="s">
        <v>26</v>
      </c>
      <c r="AC11" s="190" t="s">
        <v>182</v>
      </c>
    </row>
    <row r="12" spans="1:31" s="198" customFormat="1" x14ac:dyDescent="0.2">
      <c r="A12" s="176" t="s">
        <v>41</v>
      </c>
      <c r="B12" s="205" t="s">
        <v>35</v>
      </c>
      <c r="C12" s="206"/>
      <c r="D12" s="207" t="s">
        <v>26</v>
      </c>
      <c r="E12" s="205" t="s">
        <v>35</v>
      </c>
      <c r="F12" s="206"/>
      <c r="G12" s="208" t="s">
        <v>26</v>
      </c>
      <c r="H12" s="173" t="s">
        <v>32</v>
      </c>
      <c r="I12" s="194" t="s">
        <v>36</v>
      </c>
      <c r="J12" s="194" t="s">
        <v>36</v>
      </c>
      <c r="K12" s="173" t="s">
        <v>37</v>
      </c>
      <c r="L12" s="173" t="s">
        <v>38</v>
      </c>
      <c r="M12" s="209" t="s">
        <v>39</v>
      </c>
      <c r="N12" s="194" t="str">
        <f>O10</f>
        <v>Nat Gas</v>
      </c>
      <c r="O12" s="194" t="s">
        <v>36</v>
      </c>
      <c r="P12" s="194" t="s">
        <v>36</v>
      </c>
      <c r="Q12" s="173" t="s">
        <v>37</v>
      </c>
      <c r="R12" s="173" t="s">
        <v>38</v>
      </c>
      <c r="S12" s="209" t="s">
        <v>39</v>
      </c>
      <c r="T12" s="210" t="s">
        <v>40</v>
      </c>
      <c r="U12" s="179"/>
      <c r="V12" s="194" t="s">
        <v>41</v>
      </c>
      <c r="W12" s="203" t="s">
        <v>42</v>
      </c>
      <c r="X12" s="202" t="s">
        <v>42</v>
      </c>
      <c r="Y12" s="204" t="s">
        <v>42</v>
      </c>
      <c r="Z12" s="203" t="s">
        <v>43</v>
      </c>
      <c r="AA12" s="211" t="s">
        <v>54</v>
      </c>
      <c r="AC12" s="190" t="s">
        <v>42</v>
      </c>
    </row>
    <row r="13" spans="1:31" s="198" customFormat="1" x14ac:dyDescent="0.2">
      <c r="A13" s="176" t="s">
        <v>188</v>
      </c>
      <c r="B13" s="212" t="s">
        <v>44</v>
      </c>
      <c r="C13" s="213" t="s">
        <v>45</v>
      </c>
      <c r="D13" s="214" t="s">
        <v>46</v>
      </c>
      <c r="E13" s="212" t="s">
        <v>44</v>
      </c>
      <c r="F13" s="213" t="s">
        <v>45</v>
      </c>
      <c r="G13" s="211" t="s">
        <v>46</v>
      </c>
      <c r="H13" s="212" t="s">
        <v>45</v>
      </c>
      <c r="I13" s="215" t="s">
        <v>47</v>
      </c>
      <c r="J13" s="215" t="s">
        <v>47</v>
      </c>
      <c r="K13" s="216" t="s">
        <v>46</v>
      </c>
      <c r="L13" s="216" t="s">
        <v>46</v>
      </c>
      <c r="M13" s="211" t="s">
        <v>46</v>
      </c>
      <c r="N13" s="215" t="s">
        <v>45</v>
      </c>
      <c r="O13" s="215" t="s">
        <v>47</v>
      </c>
      <c r="P13" s="215" t="s">
        <v>47</v>
      </c>
      <c r="Q13" s="216" t="s">
        <v>46</v>
      </c>
      <c r="R13" s="216" t="s">
        <v>46</v>
      </c>
      <c r="S13" s="211" t="s">
        <v>46</v>
      </c>
      <c r="T13" s="215" t="s">
        <v>45</v>
      </c>
      <c r="U13" s="211" t="s">
        <v>46</v>
      </c>
      <c r="V13" s="194" t="s">
        <v>186</v>
      </c>
      <c r="W13" s="213" t="s">
        <v>174</v>
      </c>
      <c r="X13" s="211" t="s">
        <v>46</v>
      </c>
      <c r="Y13" s="217" t="s">
        <v>46</v>
      </c>
      <c r="Z13" s="218" t="s">
        <v>46</v>
      </c>
      <c r="AA13" s="219" t="s">
        <v>55</v>
      </c>
    </row>
    <row r="14" spans="1:31" ht="3.75" customHeight="1" x14ac:dyDescent="0.2">
      <c r="A14" s="220"/>
      <c r="B14" s="221"/>
      <c r="C14" s="222"/>
      <c r="D14" s="223"/>
      <c r="E14" s="221"/>
      <c r="F14" s="222"/>
      <c r="G14" s="224"/>
      <c r="H14" s="221"/>
      <c r="I14" s="129"/>
      <c r="J14" s="129"/>
      <c r="K14" s="129"/>
      <c r="L14" s="225"/>
      <c r="M14" s="174"/>
      <c r="N14" s="129"/>
      <c r="O14" s="129"/>
      <c r="P14" s="129"/>
      <c r="Q14" s="129"/>
      <c r="S14" s="174"/>
      <c r="U14" s="174"/>
      <c r="V14" s="129"/>
      <c r="W14" s="129"/>
      <c r="X14" s="174"/>
      <c r="Y14" s="175"/>
      <c r="Z14" s="124"/>
      <c r="AA14" s="174"/>
      <c r="AB14" s="198"/>
      <c r="AC14" s="198"/>
      <c r="AE14" s="198"/>
    </row>
    <row r="15" spans="1:31" x14ac:dyDescent="0.2">
      <c r="A15" s="226">
        <v>0</v>
      </c>
      <c r="B15" s="50" t="s">
        <v>48</v>
      </c>
      <c r="C15" s="50">
        <v>332280</v>
      </c>
      <c r="D15" s="227">
        <f>$C15/(1+disc)^$A15</f>
        <v>332280</v>
      </c>
      <c r="E15" s="228" t="s">
        <v>49</v>
      </c>
      <c r="F15" s="229" t="s">
        <v>49</v>
      </c>
      <c r="G15" s="230" t="s">
        <v>49</v>
      </c>
      <c r="H15" s="52">
        <v>612960</v>
      </c>
      <c r="I15" s="78" t="str">
        <f>IF('General Data'!$H$30="","",'General Data'!$H$30)</f>
        <v/>
      </c>
      <c r="J15" s="78"/>
      <c r="K15" s="231">
        <f>IF(A16=1,1,VLOOKUP(A16-1,'DOE Fuel Esc Rates'!T9:AB13,8,TRUE))</f>
        <v>1</v>
      </c>
      <c r="L15" s="232"/>
      <c r="M15" s="233"/>
      <c r="N15" s="53">
        <v>26180</v>
      </c>
      <c r="O15" s="78" t="str">
        <f>IF('General Data'!$H$31="","",'General Data'!$H$31)</f>
        <v/>
      </c>
      <c r="P15" s="78"/>
      <c r="Q15" s="234">
        <f>IF(A16=1,1,VLOOKUP(A16-1,'DOE Fuel Esc Rates'!T9:AB13,9,TRUE))</f>
        <v>1</v>
      </c>
      <c r="R15" s="232"/>
      <c r="S15" s="233"/>
      <c r="T15" s="53">
        <v>0</v>
      </c>
      <c r="U15" s="233"/>
      <c r="V15" s="235"/>
      <c r="W15" s="236">
        <f>+D15+M15+S15+U15</f>
        <v>332280</v>
      </c>
      <c r="X15" s="237">
        <f>+D15+M15+S15+U15</f>
        <v>332280</v>
      </c>
      <c r="Y15" s="238">
        <f>SUM(X$15:X15)</f>
        <v>332280</v>
      </c>
      <c r="Z15" s="236">
        <f>LCC0!Y15-Y15</f>
        <v>-277980</v>
      </c>
      <c r="AA15" s="237"/>
      <c r="AB15" s="198"/>
      <c r="AC15" s="198"/>
      <c r="AE15" s="198"/>
    </row>
    <row r="16" spans="1:31" x14ac:dyDescent="0.2">
      <c r="A16" s="239">
        <f>IF(ROW(A16)-ROW($A$15)+$H$4&lt;=$N$4,A15+1+$H$4,"")</f>
        <v>1</v>
      </c>
      <c r="B16" s="51"/>
      <c r="C16" s="51">
        <v>0</v>
      </c>
      <c r="D16" s="240">
        <f>IF($A16&lt;&gt;"",$C16/((1+$T$5)^$A16),"")</f>
        <v>0</v>
      </c>
      <c r="E16" s="51"/>
      <c r="F16" s="51">
        <v>0</v>
      </c>
      <c r="G16" s="241">
        <f t="shared" ref="G16:G40" si="0">IF($A16&lt;&gt;"",$F16/((1+disc)^$A16),"")</f>
        <v>0</v>
      </c>
      <c r="H16" s="242">
        <f>IF($A16&lt;=$N$4,H$15*'General Data'!$S8,"")</f>
        <v>612960</v>
      </c>
      <c r="I16" s="243">
        <f>IF(A16&lt;&gt;"",IF(I$15="",VLOOKUP(A16,'DOE Fuel Esc Rates'!$T$9:$W$38,3,TRUE),I$15),"")</f>
        <v>2.7786548784338283E-2</v>
      </c>
      <c r="J16" s="243">
        <f>((1+I16)*(1+'General Data'!$M$25))-1</f>
        <v>2.8814335333122498E-2</v>
      </c>
      <c r="K16" s="244">
        <f>IF(H16&lt;&gt;"",H16*(1+I16)*K15,"")</f>
        <v>629992.04294284794</v>
      </c>
      <c r="L16" s="244">
        <f t="shared" ref="L16:L40" si="1">IF(H16&lt;&gt;"",H16/(1+disc)^$A16,"")</f>
        <v>595106.79611650482</v>
      </c>
      <c r="M16" s="241">
        <f t="shared" ref="M16:M40" si="2">IF(H16&lt;&gt;"",K16/(1+disc)^$A16,"")</f>
        <v>611642.76013868733</v>
      </c>
      <c r="N16" s="242">
        <f>IF($A16&lt;=$N$4,N$15*'General Data'!$S8,"")</f>
        <v>26180</v>
      </c>
      <c r="O16" s="243">
        <f>IF(A16&lt;&gt;"",IF(O$15="",VLOOKUP(A16,'DOE Fuel Esc Rates'!$T$9:$W$38,4,TRUE),O$15),"")</f>
        <v>1.2387387387387427E-2</v>
      </c>
      <c r="P16" s="243">
        <f>((1+O16)*(1+'General Data'!$M$25))-1</f>
        <v>1.339977477477472E-2</v>
      </c>
      <c r="Q16" s="244">
        <f>IF(N16&lt;&gt;"",N16*(1+O16)*Q15,"")</f>
        <v>26504.301801801801</v>
      </c>
      <c r="R16" s="244">
        <f t="shared" ref="R16:R40" si="3">IF(N16&lt;&gt;"",N16/(1+disc)^$A16,"")</f>
        <v>25417.475728155339</v>
      </c>
      <c r="S16" s="241">
        <f t="shared" ref="S16:S40" si="4">IF(N16&lt;&gt;"",Q16/((1+disc)^$A16),"")</f>
        <v>25732.331846409514</v>
      </c>
      <c r="T16" s="242">
        <f t="shared" ref="T16:T40" si="5">IF($A16&lt;=$N$4,T$15,"")</f>
        <v>0</v>
      </c>
      <c r="U16" s="245">
        <f t="shared" ref="U16:U40" si="6">IF(T16&lt;&gt;"",T16/(1+disc)^A16,"")</f>
        <v>0</v>
      </c>
      <c r="V16" s="246">
        <f>IF($A16&lt;=$N$4,VLOOKUP(A16,'DOE Fuel Esc Rates'!$T$9:$W$38,2,TRUE),"")</f>
        <v>2015</v>
      </c>
      <c r="W16" s="247">
        <f t="shared" ref="W16:W40" si="7">IF(A16&lt;&gt;"",SUM(C16,F16,K16,Q16,T16),"")</f>
        <v>656496.34474464972</v>
      </c>
      <c r="X16" s="241">
        <f t="shared" ref="X16:X40" si="8">IF(A16&lt;&gt;"",SUM(D16,G16,M16,S16,U16),"")</f>
        <v>637375.09198509681</v>
      </c>
      <c r="Y16" s="248">
        <f>IF(A16&lt;&gt;"",SUM(X$15:X16),"")</f>
        <v>969655.09198509681</v>
      </c>
      <c r="Z16" s="249">
        <f>IF(A16&lt;&gt;"",LCC0!Y16-Y16,"")</f>
        <v>-235568.45268286602</v>
      </c>
      <c r="AA16" s="312" t="str">
        <f>IF(A16&lt;&gt;"",IF(Z16&gt;0,A15+(-Z15)/(Z16-Z15),""),"")</f>
        <v/>
      </c>
      <c r="AB16" s="198"/>
      <c r="AC16" s="251">
        <f t="shared" ref="AC16:AC40" si="9">SUM(K16,Q16)</f>
        <v>656496.34474464972</v>
      </c>
      <c r="AE16" s="198"/>
    </row>
    <row r="17" spans="1:31" x14ac:dyDescent="0.2">
      <c r="A17" s="176">
        <f>IF(ROW(A17)-ROW($A$15)+$H$4&lt;=$N$4,A16+1,"")</f>
        <v>2</v>
      </c>
      <c r="B17" s="56"/>
      <c r="C17" s="51">
        <v>0</v>
      </c>
      <c r="D17" s="252">
        <f t="shared" ref="D17:D40" si="10">IF($A17&lt;&gt;"",$C17/((1+$T$5)^$A17),"")</f>
        <v>0</v>
      </c>
      <c r="E17" s="56"/>
      <c r="F17" s="51">
        <v>0</v>
      </c>
      <c r="G17" s="241">
        <f t="shared" si="0"/>
        <v>0</v>
      </c>
      <c r="H17" s="242">
        <f>IF($A17&lt;=$N$4,H$15*'General Data'!$S9,"")</f>
        <v>612960</v>
      </c>
      <c r="I17" s="243">
        <f>IF(A17&lt;&gt;"",IF(I$15="",VLOOKUP(A17,'DOE Fuel Esc Rates'!$T$9:$W$38,3,TRUE),I$15),"")</f>
        <v>1.3824884792626779E-2</v>
      </c>
      <c r="J17" s="243">
        <f>((1+I17)*(1+'General Data'!$M$25))-1</f>
        <v>1.4838709677419404E-2</v>
      </c>
      <c r="K17" s="253">
        <f t="shared" ref="K17:K40" si="11">IF(H17&lt;&gt;"",K16*(1+I17),"")</f>
        <v>638701.61035680445</v>
      </c>
      <c r="L17" s="253">
        <f t="shared" si="1"/>
        <v>577773.5884626261</v>
      </c>
      <c r="M17" s="241">
        <f t="shared" si="2"/>
        <v>602037.52507946501</v>
      </c>
      <c r="N17" s="242">
        <f>IF($A17&lt;=$N$4,N$15*'General Data'!$S9,"")</f>
        <v>26180</v>
      </c>
      <c r="O17" s="243">
        <f>IF(A17&lt;&gt;"",IF(O$15="",VLOOKUP(A17,'DOE Fuel Esc Rates'!$T$9:$W$38,4,TRUE),O$15),"")</f>
        <v>1.1123470522802492E-3</v>
      </c>
      <c r="P17" s="243">
        <f>((1+O17)*(1+'General Data'!$M$25))-1</f>
        <v>2.1134593993323847E-3</v>
      </c>
      <c r="Q17" s="253">
        <f t="shared" ref="Q17:Q40" si="12">IF(N17&lt;&gt;"",Q16*(1+O17),"")</f>
        <v>26533.78378378378</v>
      </c>
      <c r="R17" s="253">
        <f t="shared" si="3"/>
        <v>24677.16090112169</v>
      </c>
      <c r="S17" s="241">
        <f t="shared" si="4"/>
        <v>25010.636048434142</v>
      </c>
      <c r="T17" s="242">
        <f t="shared" si="5"/>
        <v>0</v>
      </c>
      <c r="U17" s="245">
        <f t="shared" si="6"/>
        <v>0</v>
      </c>
      <c r="V17" s="246">
        <f>IF($A17&lt;=$N$4,VLOOKUP(A17,'DOE Fuel Esc Rates'!$T$9:$W$38,2,TRUE),"")</f>
        <v>2016</v>
      </c>
      <c r="W17" s="247">
        <f t="shared" si="7"/>
        <v>665235.39414058824</v>
      </c>
      <c r="X17" s="241">
        <f t="shared" si="8"/>
        <v>627048.16112789919</v>
      </c>
      <c r="Y17" s="248">
        <f>IF(A17&lt;&gt;"",SUM(X$15:X17),"")</f>
        <v>1596703.253112996</v>
      </c>
      <c r="Z17" s="249">
        <f>IF(A17&lt;&gt;"",LCC0!Y17-Y17,"")</f>
        <v>-193812.50325698359</v>
      </c>
      <c r="AA17" s="312" t="str">
        <f>IF(A17&lt;&gt;"",IF(Z17&gt;0,IF(SUM(AA$16:AA16)=0,A16+(-Z16)/(Z17-Z16),""),""),"")</f>
        <v/>
      </c>
      <c r="AB17" s="198"/>
      <c r="AC17" s="251">
        <f t="shared" si="9"/>
        <v>665235.39414058824</v>
      </c>
      <c r="AE17" s="198"/>
    </row>
    <row r="18" spans="1:31" x14ac:dyDescent="0.2">
      <c r="A18" s="176">
        <f t="shared" ref="A18:A40" si="13">IF(ROW(A18)-ROW($A$15)+$H$4&lt;=$N$4,A17+1,"")</f>
        <v>3</v>
      </c>
      <c r="B18" s="56"/>
      <c r="C18" s="51">
        <v>0</v>
      </c>
      <c r="D18" s="252">
        <f t="shared" si="10"/>
        <v>0</v>
      </c>
      <c r="E18" s="56"/>
      <c r="F18" s="51">
        <v>0</v>
      </c>
      <c r="G18" s="241">
        <f t="shared" si="0"/>
        <v>0</v>
      </c>
      <c r="H18" s="242">
        <f>IF($A18&lt;=$N$4,H$15*'General Data'!$S10,"")</f>
        <v>612960</v>
      </c>
      <c r="I18" s="243">
        <f>IF(A18&lt;&gt;"",IF(I$15="",VLOOKUP(A18,'DOE Fuel Esc Rates'!$T$9:$W$38,3,TRUE),I$15),"")</f>
        <v>-1.0606060606060619E-2</v>
      </c>
      <c r="J18" s="243">
        <f>((1+I18)*(1+'General Data'!$M$25))-1</f>
        <v>-9.6166666666668288E-3</v>
      </c>
      <c r="K18" s="253">
        <f t="shared" si="11"/>
        <v>631927.5023681717</v>
      </c>
      <c r="L18" s="253">
        <f t="shared" si="1"/>
        <v>560945.2315171127</v>
      </c>
      <c r="M18" s="241">
        <f t="shared" si="2"/>
        <v>578303.18310810637</v>
      </c>
      <c r="N18" s="242">
        <f>IF($A18&lt;=$N$4,N$15*'General Data'!$S10,"")</f>
        <v>26180</v>
      </c>
      <c r="O18" s="243">
        <f>IF(A18&lt;&gt;"",IF(O$15="",VLOOKUP(A18,'DOE Fuel Esc Rates'!$T$9:$W$38,4,TRUE),O$15),"")</f>
        <v>-1.1111111111110628E-3</v>
      </c>
      <c r="P18" s="243">
        <f>((1+O18)*(1+'General Data'!$M$25))-1</f>
        <v>-1.1222222222229128E-4</v>
      </c>
      <c r="Q18" s="253">
        <f t="shared" si="12"/>
        <v>26504.301801801797</v>
      </c>
      <c r="R18" s="253">
        <f t="shared" si="3"/>
        <v>23958.408641865717</v>
      </c>
      <c r="S18" s="241">
        <f t="shared" si="4"/>
        <v>24255.190730897833</v>
      </c>
      <c r="T18" s="242">
        <f t="shared" si="5"/>
        <v>0</v>
      </c>
      <c r="U18" s="245">
        <f t="shared" si="6"/>
        <v>0</v>
      </c>
      <c r="V18" s="246">
        <f>IF($A18&lt;=$N$4,VLOOKUP(A18,'DOE Fuel Esc Rates'!$T$9:$W$38,2,TRUE),"")</f>
        <v>2017</v>
      </c>
      <c r="W18" s="247">
        <f t="shared" si="7"/>
        <v>658431.80416997347</v>
      </c>
      <c r="X18" s="241">
        <f t="shared" si="8"/>
        <v>602558.3738390042</v>
      </c>
      <c r="Y18" s="248">
        <f>IF(A18&lt;&gt;"",SUM(X$15:X18),"")</f>
        <v>2199261.626952</v>
      </c>
      <c r="Z18" s="249">
        <f>IF(A18&lt;&gt;"",LCC0!Y18-Y18,"")</f>
        <v>-153710.28736496787</v>
      </c>
      <c r="AA18" s="312" t="str">
        <f>IF(A18&lt;&gt;"",IF(Z18&gt;0,IF(SUM(AA$16:AA17)=0,A17+(-Z17)/(Z18-Z17),""),""),"")</f>
        <v/>
      </c>
      <c r="AB18" s="198"/>
      <c r="AC18" s="251">
        <f t="shared" si="9"/>
        <v>658431.80416997347</v>
      </c>
      <c r="AE18" s="198"/>
    </row>
    <row r="19" spans="1:31" x14ac:dyDescent="0.2">
      <c r="A19" s="176">
        <f t="shared" si="13"/>
        <v>4</v>
      </c>
      <c r="B19" s="56"/>
      <c r="C19" s="51">
        <v>0</v>
      </c>
      <c r="D19" s="252">
        <f t="shared" si="10"/>
        <v>0</v>
      </c>
      <c r="E19" s="56"/>
      <c r="F19" s="51">
        <v>0</v>
      </c>
      <c r="G19" s="241">
        <f t="shared" si="0"/>
        <v>0</v>
      </c>
      <c r="H19" s="242">
        <f>IF($A19&lt;=$N$4,H$15*'General Data'!$S11,"")</f>
        <v>612960</v>
      </c>
      <c r="I19" s="243">
        <f>IF(A19&lt;&gt;"",IF(I$15="",VLOOKUP(A19,'DOE Fuel Esc Rates'!$T$9:$W$38,3,TRUE),I$15),"")</f>
        <v>-7.9632465543644226E-3</v>
      </c>
      <c r="J19" s="243">
        <f>((1+I19)*(1+'General Data'!$M$25))-1</f>
        <v>-6.9712098009189205E-3</v>
      </c>
      <c r="K19" s="253">
        <f t="shared" si="11"/>
        <v>626895.30786233023</v>
      </c>
      <c r="L19" s="253">
        <f t="shared" si="1"/>
        <v>544607.02089040074</v>
      </c>
      <c r="M19" s="241">
        <f t="shared" si="2"/>
        <v>556988.3614347988</v>
      </c>
      <c r="N19" s="242">
        <f>IF($A19&lt;=$N$4,N$15*'General Data'!$S11,"")</f>
        <v>26180</v>
      </c>
      <c r="O19" s="243">
        <f>IF(A19&lt;&gt;"",IF(O$15="",VLOOKUP(A19,'DOE Fuel Esc Rates'!$T$9:$W$38,4,TRUE),O$15),"")</f>
        <v>3.6707452725250223E-2</v>
      </c>
      <c r="P19" s="243">
        <f>((1+O19)*(1+'General Data'!$M$25))-1</f>
        <v>3.7744160177975328E-2</v>
      </c>
      <c r="Q19" s="253">
        <f t="shared" si="12"/>
        <v>27477.207207207201</v>
      </c>
      <c r="R19" s="253">
        <f t="shared" si="3"/>
        <v>23260.590914432738</v>
      </c>
      <c r="S19" s="241">
        <f t="shared" si="4"/>
        <v>24413.14271649922</v>
      </c>
      <c r="T19" s="242">
        <f t="shared" si="5"/>
        <v>0</v>
      </c>
      <c r="U19" s="245">
        <f t="shared" si="6"/>
        <v>0</v>
      </c>
      <c r="V19" s="246">
        <f>IF($A19&lt;=$N$4,VLOOKUP(A19,'DOE Fuel Esc Rates'!$T$9:$W$38,2,TRUE),"")</f>
        <v>2018</v>
      </c>
      <c r="W19" s="247">
        <f t="shared" si="7"/>
        <v>654372.51506953745</v>
      </c>
      <c r="X19" s="241">
        <f t="shared" si="8"/>
        <v>581401.50415129797</v>
      </c>
      <c r="Y19" s="248">
        <f>IF(A19&lt;&gt;"",SUM(X$15:X19),"")</f>
        <v>2780663.1311032977</v>
      </c>
      <c r="Z19" s="249">
        <f>IF(A19&lt;&gt;"",LCC0!Y19-Y19,"")</f>
        <v>-115120.69538143603</v>
      </c>
      <c r="AA19" s="312" t="str">
        <f>IF(A19&lt;&gt;"",IF(Z19&gt;0,IF(SUM(AA$16:AA18)=0,A18+(-Z18)/(Z19-Z18),""),""),"")</f>
        <v/>
      </c>
      <c r="AB19" s="198"/>
      <c r="AC19" s="251">
        <f t="shared" si="9"/>
        <v>654372.51506953745</v>
      </c>
      <c r="AE19" s="198"/>
    </row>
    <row r="20" spans="1:31" x14ac:dyDescent="0.2">
      <c r="A20" s="176">
        <f t="shared" si="13"/>
        <v>5</v>
      </c>
      <c r="B20" s="56"/>
      <c r="C20" s="51">
        <v>0</v>
      </c>
      <c r="D20" s="252">
        <f t="shared" si="10"/>
        <v>0</v>
      </c>
      <c r="E20" s="56"/>
      <c r="F20" s="51">
        <v>0</v>
      </c>
      <c r="G20" s="241">
        <f t="shared" si="0"/>
        <v>0</v>
      </c>
      <c r="H20" s="242">
        <f>IF($A20&lt;=$N$4,H$15*'General Data'!$S12,"")</f>
        <v>612960</v>
      </c>
      <c r="I20" s="243">
        <f>IF(A20&lt;&gt;"",IF(I$15="",VLOOKUP(A20,'DOE Fuel Esc Rates'!$T$9:$W$38,3,TRUE),I$15),"")</f>
        <v>6.1747452917559897E-4</v>
      </c>
      <c r="J20" s="243">
        <f>((1+I20)*(1+'General Data'!$M$25))-1</f>
        <v>1.6180920037047741E-3</v>
      </c>
      <c r="K20" s="253">
        <f t="shared" si="11"/>
        <v>627282.39974739496</v>
      </c>
      <c r="L20" s="253">
        <f t="shared" si="1"/>
        <v>528744.68047611718</v>
      </c>
      <c r="M20" s="241">
        <f t="shared" si="2"/>
        <v>541099.30831168161</v>
      </c>
      <c r="N20" s="242">
        <f>IF($A20&lt;=$N$4,N$15*'General Data'!$S12,"")</f>
        <v>26180</v>
      </c>
      <c r="O20" s="243">
        <f>IF(A20&lt;&gt;"",IF(O$15="",VLOOKUP(A20,'DOE Fuel Esc Rates'!$T$9:$W$38,4,TRUE),O$15),"")</f>
        <v>4.7210300429184393E-2</v>
      </c>
      <c r="P20" s="243">
        <f>((1+O20)*(1+'General Data'!$M$25))-1</f>
        <v>4.8257510729613484E-2</v>
      </c>
      <c r="Q20" s="253">
        <f t="shared" si="12"/>
        <v>28774.414414414405</v>
      </c>
      <c r="R20" s="253">
        <f t="shared" si="3"/>
        <v>22583.097975177418</v>
      </c>
      <c r="S20" s="241">
        <f t="shared" si="4"/>
        <v>24821.062639384178</v>
      </c>
      <c r="T20" s="242">
        <f t="shared" si="5"/>
        <v>0</v>
      </c>
      <c r="U20" s="245">
        <f t="shared" si="6"/>
        <v>0</v>
      </c>
      <c r="V20" s="246">
        <f>IF($A20&lt;=$N$4,VLOOKUP(A20,'DOE Fuel Esc Rates'!$T$9:$W$38,2,TRUE),"")</f>
        <v>2019</v>
      </c>
      <c r="W20" s="247">
        <f t="shared" si="7"/>
        <v>656056.81416180939</v>
      </c>
      <c r="X20" s="241">
        <f t="shared" si="8"/>
        <v>565920.37095106579</v>
      </c>
      <c r="Y20" s="248">
        <f>IF(A20&lt;&gt;"",SUM(X$15:X20),"")</f>
        <v>3346583.5020543635</v>
      </c>
      <c r="Z20" s="249">
        <f>IF(A20&lt;&gt;"",LCC0!Y20-Y20,"")</f>
        <v>-77668.215275683906</v>
      </c>
      <c r="AA20" s="312" t="str">
        <f>IF(A20&lt;&gt;"",IF(Z20&gt;0,IF(SUM(AA$16:AA19)=0,A19+(-Z19)/(Z20-Z19),""),""),"")</f>
        <v/>
      </c>
      <c r="AB20" s="198"/>
      <c r="AC20" s="251">
        <f t="shared" si="9"/>
        <v>656056.81416180939</v>
      </c>
      <c r="AE20" s="198"/>
    </row>
    <row r="21" spans="1:31" x14ac:dyDescent="0.2">
      <c r="A21" s="176">
        <f t="shared" si="13"/>
        <v>6</v>
      </c>
      <c r="B21" s="56"/>
      <c r="C21" s="51">
        <v>0</v>
      </c>
      <c r="D21" s="252">
        <f t="shared" si="10"/>
        <v>0</v>
      </c>
      <c r="E21" s="56"/>
      <c r="F21" s="51">
        <v>0</v>
      </c>
      <c r="G21" s="241">
        <f t="shared" si="0"/>
        <v>0</v>
      </c>
      <c r="H21" s="242">
        <f>IF($A21&lt;=$N$4,H$15*'General Data'!$S13,"")</f>
        <v>612960</v>
      </c>
      <c r="I21" s="243">
        <f>IF(A21&lt;&gt;"",IF(I$15="",VLOOKUP(A21,'DOE Fuel Esc Rates'!$T$9:$W$38,3,TRUE),I$15),"")</f>
        <v>3.7025609379821578E-3</v>
      </c>
      <c r="J21" s="243">
        <f>((1+I21)*(1+'General Data'!$M$25))-1</f>
        <v>4.7062634989201158E-3</v>
      </c>
      <c r="K21" s="253">
        <f t="shared" si="11"/>
        <v>629604.95105778333</v>
      </c>
      <c r="L21" s="253">
        <f t="shared" si="1"/>
        <v>513344.34997681284</v>
      </c>
      <c r="M21" s="241">
        <f t="shared" si="2"/>
        <v>527284.23444097629</v>
      </c>
      <c r="N21" s="242">
        <f>IF($A21&lt;=$N$4,N$15*'General Data'!$S13,"")</f>
        <v>26180</v>
      </c>
      <c r="O21" s="243">
        <f>IF(A21&lt;&gt;"",IF(O$15="",VLOOKUP(A21,'DOE Fuel Esc Rates'!$T$9:$W$38,4,TRUE),O$15),"")</f>
        <v>3.5860655737704805E-2</v>
      </c>
      <c r="P21" s="243">
        <f>((1+O21)*(1+'General Data'!$M$25))-1</f>
        <v>3.6896516393442491E-2</v>
      </c>
      <c r="Q21" s="253">
        <f t="shared" si="12"/>
        <v>29806.283783783769</v>
      </c>
      <c r="R21" s="253">
        <f t="shared" si="3"/>
        <v>21925.337839978074</v>
      </c>
      <c r="S21" s="241">
        <f t="shared" si="4"/>
        <v>24962.293419164213</v>
      </c>
      <c r="T21" s="242">
        <f t="shared" si="5"/>
        <v>0</v>
      </c>
      <c r="U21" s="245">
        <f t="shared" si="6"/>
        <v>0</v>
      </c>
      <c r="V21" s="246">
        <f>IF($A21&lt;=$N$4,VLOOKUP(A21,'DOE Fuel Esc Rates'!$T$9:$W$38,2,TRUE),"")</f>
        <v>2020</v>
      </c>
      <c r="W21" s="247">
        <f t="shared" si="7"/>
        <v>659411.23484156711</v>
      </c>
      <c r="X21" s="241">
        <f t="shared" si="8"/>
        <v>552246.52786014054</v>
      </c>
      <c r="Y21" s="248">
        <f>IF(A21&lt;&gt;"",SUM(X$15:X21),"")</f>
        <v>3898830.0299145039</v>
      </c>
      <c r="Z21" s="249">
        <f>IF(A21&lt;&gt;"",LCC0!Y21-Y21,"")</f>
        <v>-41197.409659302793</v>
      </c>
      <c r="AA21" s="312" t="str">
        <f>IF(A21&lt;&gt;"",IF(Z21&gt;0,IF(SUM(AA$16:AA20)=0,A20+(-Z20)/(Z21-Z20),""),""),"")</f>
        <v/>
      </c>
      <c r="AB21" s="198"/>
      <c r="AC21" s="251">
        <f t="shared" si="9"/>
        <v>659411.23484156711</v>
      </c>
      <c r="AE21" s="198"/>
    </row>
    <row r="22" spans="1:31" x14ac:dyDescent="0.2">
      <c r="A22" s="176">
        <f t="shared" si="13"/>
        <v>7</v>
      </c>
      <c r="B22" s="56"/>
      <c r="C22" s="51">
        <v>0</v>
      </c>
      <c r="D22" s="252">
        <f t="shared" si="10"/>
        <v>0</v>
      </c>
      <c r="E22" s="56"/>
      <c r="F22" s="51">
        <v>0</v>
      </c>
      <c r="G22" s="241">
        <f t="shared" si="0"/>
        <v>0</v>
      </c>
      <c r="H22" s="242">
        <f>IF($A22&lt;=$N$4,H$15*'General Data'!$S14,"")</f>
        <v>612960</v>
      </c>
      <c r="I22" s="243">
        <f>IF(A22&lt;&gt;"",IF(I$15="",VLOOKUP(A22,'DOE Fuel Esc Rates'!$T$9:$W$38,3,TRUE),I$15),"")</f>
        <v>1.8444512757456177E-3</v>
      </c>
      <c r="J22" s="243">
        <f>((1+I22)*(1+'General Data'!$M$25))-1</f>
        <v>2.8462957270212197E-3</v>
      </c>
      <c r="K22" s="253">
        <f t="shared" si="11"/>
        <v>630766.22671297763</v>
      </c>
      <c r="L22" s="253">
        <f t="shared" si="1"/>
        <v>498392.57279302209</v>
      </c>
      <c r="M22" s="241">
        <f t="shared" si="2"/>
        <v>512870.66458239948</v>
      </c>
      <c r="N22" s="242">
        <f>IF($A22&lt;=$N$4,N$15*'General Data'!$S14,"")</f>
        <v>26180</v>
      </c>
      <c r="O22" s="243">
        <f>IF(A22&lt;&gt;"",IF(O$15="",VLOOKUP(A22,'DOE Fuel Esc Rates'!$T$9:$W$38,4,TRUE),O$15),"")</f>
        <v>2.0771513353115889E-2</v>
      </c>
      <c r="P22" s="243">
        <f>((1+O22)*(1+'General Data'!$M$25))-1</f>
        <v>2.1792284866468892E-2</v>
      </c>
      <c r="Q22" s="253">
        <f t="shared" si="12"/>
        <v>30425.405405405396</v>
      </c>
      <c r="R22" s="253">
        <f t="shared" si="3"/>
        <v>21286.735766969003</v>
      </c>
      <c r="S22" s="241">
        <f t="shared" si="4"/>
        <v>24738.638864315319</v>
      </c>
      <c r="T22" s="242">
        <f t="shared" si="5"/>
        <v>0</v>
      </c>
      <c r="U22" s="245">
        <f t="shared" si="6"/>
        <v>0</v>
      </c>
      <c r="V22" s="246">
        <f>IF($A22&lt;=$N$4,VLOOKUP(A22,'DOE Fuel Esc Rates'!$T$9:$W$38,2,TRUE),"")</f>
        <v>2021</v>
      </c>
      <c r="W22" s="247">
        <f t="shared" si="7"/>
        <v>661191.63211838307</v>
      </c>
      <c r="X22" s="241">
        <f t="shared" si="8"/>
        <v>537609.30344671477</v>
      </c>
      <c r="Y22" s="248">
        <f>IF(A22&lt;&gt;"",SUM(X$15:X22),"")</f>
        <v>4436439.3333612187</v>
      </c>
      <c r="Z22" s="249">
        <f>IF(A22&lt;&gt;"",LCC0!Y22-Y22,"")</f>
        <v>-5738.6193006420508</v>
      </c>
      <c r="AA22" s="312" t="str">
        <f>IF(A22&lt;&gt;"",IF(Z22&gt;0,IF(SUM(AA$16:AA21)=0,A21+(-Z21)/(Z22-Z21),""),""),"")</f>
        <v/>
      </c>
      <c r="AB22" s="198"/>
      <c r="AC22" s="251">
        <f t="shared" si="9"/>
        <v>661191.63211838307</v>
      </c>
      <c r="AE22" s="198"/>
    </row>
    <row r="23" spans="1:31" x14ac:dyDescent="0.2">
      <c r="A23" s="176">
        <f t="shared" si="13"/>
        <v>8</v>
      </c>
      <c r="B23" s="56"/>
      <c r="C23" s="51">
        <v>0</v>
      </c>
      <c r="D23" s="252">
        <f t="shared" si="10"/>
        <v>0</v>
      </c>
      <c r="E23" s="56" t="s">
        <v>50</v>
      </c>
      <c r="F23" s="51">
        <v>0</v>
      </c>
      <c r="G23" s="241">
        <f t="shared" si="0"/>
        <v>0</v>
      </c>
      <c r="H23" s="242">
        <f>IF($A23&lt;=$N$4,H$15*'General Data'!$S15,"")</f>
        <v>612960</v>
      </c>
      <c r="I23" s="243">
        <f>IF(A23&lt;&gt;"",IF(I$15="",VLOOKUP(A23,'DOE Fuel Esc Rates'!$T$9:$W$38,3,TRUE),I$15),"")</f>
        <v>-2.1478981282602172E-3</v>
      </c>
      <c r="J23" s="243">
        <f>((1+I23)*(1+'General Data'!$M$25))-1</f>
        <v>-1.1500460263885737E-3</v>
      </c>
      <c r="K23" s="253">
        <f t="shared" si="11"/>
        <v>629411.40511525108</v>
      </c>
      <c r="L23" s="253">
        <f t="shared" si="1"/>
        <v>483876.28426507005</v>
      </c>
      <c r="M23" s="241">
        <f t="shared" si="2"/>
        <v>496863.1753804888</v>
      </c>
      <c r="N23" s="242">
        <f>IF($A23&lt;=$N$4,N$15*'General Data'!$S15,"")</f>
        <v>26180</v>
      </c>
      <c r="O23" s="243">
        <f>IF(A23&lt;&gt;"",IF(O$15="",VLOOKUP(A23,'DOE Fuel Esc Rates'!$T$9:$W$38,4,TRUE),O$15),"")</f>
        <v>1.744186046511631E-2</v>
      </c>
      <c r="P23" s="243">
        <f>((1+O23)*(1+'General Data'!$M$25))-1</f>
        <v>1.8459302325581239E-2</v>
      </c>
      <c r="Q23" s="253">
        <f t="shared" si="12"/>
        <v>30956.081081081073</v>
      </c>
      <c r="R23" s="253">
        <f t="shared" si="3"/>
        <v>20666.733754338838</v>
      </c>
      <c r="S23" s="241">
        <f t="shared" si="4"/>
        <v>24437.016263576323</v>
      </c>
      <c r="T23" s="242">
        <f t="shared" si="5"/>
        <v>0</v>
      </c>
      <c r="U23" s="245">
        <f t="shared" si="6"/>
        <v>0</v>
      </c>
      <c r="V23" s="246">
        <f>IF($A23&lt;=$N$4,VLOOKUP(A23,'DOE Fuel Esc Rates'!$T$9:$W$38,2,TRUE),"")</f>
        <v>2022</v>
      </c>
      <c r="W23" s="247">
        <f t="shared" si="7"/>
        <v>660367.48619633215</v>
      </c>
      <c r="X23" s="241">
        <f t="shared" si="8"/>
        <v>521300.19164406514</v>
      </c>
      <c r="Y23" s="248">
        <f>IF(A23&lt;&gt;"",SUM(X$15:X23),"")</f>
        <v>4957739.5250052838</v>
      </c>
      <c r="Z23" s="249">
        <f>IF(A23&lt;&gt;"",LCC0!Y23-Y23,"")</f>
        <v>28597.99121651426</v>
      </c>
      <c r="AA23" s="312">
        <f>IF(A23&lt;&gt;"",IF(Z23&gt;0,IF(SUM(AA$16:AA22)=0,A22+(-Z22)/(Z23-Z22),""),""),"")</f>
        <v>7.1671282987519911</v>
      </c>
      <c r="AB23" s="198"/>
      <c r="AC23" s="251">
        <f t="shared" si="9"/>
        <v>660367.48619633215</v>
      </c>
      <c r="AE23" s="198"/>
    </row>
    <row r="24" spans="1:31" x14ac:dyDescent="0.2">
      <c r="A24" s="176">
        <f t="shared" si="13"/>
        <v>9</v>
      </c>
      <c r="B24" s="56"/>
      <c r="C24" s="51">
        <v>0</v>
      </c>
      <c r="D24" s="252">
        <f t="shared" si="10"/>
        <v>0</v>
      </c>
      <c r="E24" s="56"/>
      <c r="F24" s="51">
        <v>0</v>
      </c>
      <c r="G24" s="241">
        <f t="shared" si="0"/>
        <v>0</v>
      </c>
      <c r="H24" s="242">
        <f>IF($A24&lt;=$N$4,H$15*'General Data'!$S16,"")</f>
        <v>612960</v>
      </c>
      <c r="I24" s="243">
        <f>IF(A24&lt;&gt;"",IF(I$15="",VLOOKUP(A24,'DOE Fuel Esc Rates'!$T$9:$W$38,3,TRUE),I$15),"")</f>
        <v>-2.4600246002461912E-3</v>
      </c>
      <c r="J24" s="243">
        <f>((1+I24)*(1+'General Data'!$M$25))-1</f>
        <v>-1.4624846248465495E-3</v>
      </c>
      <c r="K24" s="253">
        <f t="shared" si="11"/>
        <v>627863.03757499205</v>
      </c>
      <c r="L24" s="253">
        <f t="shared" si="1"/>
        <v>469782.80025734956</v>
      </c>
      <c r="M24" s="241">
        <f t="shared" si="2"/>
        <v>481204.73761756928</v>
      </c>
      <c r="N24" s="242">
        <f>IF($A24&lt;=$N$4,N$15*'General Data'!$S16,"")</f>
        <v>26180</v>
      </c>
      <c r="O24" s="243">
        <f>IF(A24&lt;&gt;"",IF(O$15="",VLOOKUP(A24,'DOE Fuel Esc Rates'!$T$9:$W$38,4,TRUE),O$15),"")</f>
        <v>1.0476190476190528E-2</v>
      </c>
      <c r="P24" s="243">
        <f>((1+O24)*(1+'General Data'!$M$25))-1</f>
        <v>1.1486666666666645E-2</v>
      </c>
      <c r="Q24" s="253">
        <f t="shared" si="12"/>
        <v>31280.382882882877</v>
      </c>
      <c r="R24" s="253">
        <f t="shared" si="3"/>
        <v>20064.790052756154</v>
      </c>
      <c r="S24" s="241">
        <f t="shared" si="4"/>
        <v>23973.808835556614</v>
      </c>
      <c r="T24" s="242">
        <f t="shared" si="5"/>
        <v>0</v>
      </c>
      <c r="U24" s="245">
        <f t="shared" si="6"/>
        <v>0</v>
      </c>
      <c r="V24" s="246">
        <f>IF($A24&lt;=$N$4,VLOOKUP(A24,'DOE Fuel Esc Rates'!$T$9:$W$38,2,TRUE),"")</f>
        <v>2023</v>
      </c>
      <c r="W24" s="247">
        <f t="shared" si="7"/>
        <v>659143.42045787489</v>
      </c>
      <c r="X24" s="241">
        <f t="shared" si="8"/>
        <v>505178.54645312589</v>
      </c>
      <c r="Y24" s="248">
        <f>IF(A24&lt;&gt;"",SUM(X$15:X24),"")</f>
        <v>5462918.0714584095</v>
      </c>
      <c r="Z24" s="249">
        <f>IF(A24&lt;&gt;"",LCC0!Y24-Y24,"")</f>
        <v>61842.415627682582</v>
      </c>
      <c r="AA24" s="312" t="str">
        <f>IF(A24&lt;&gt;"",IF(Z24&gt;0,IF(SUM(AA$16:AA23)=0,A23+(-Z23)/(Z24-Z23),""),""),"")</f>
        <v/>
      </c>
      <c r="AB24" s="198"/>
      <c r="AC24" s="251">
        <f t="shared" si="9"/>
        <v>659143.42045787489</v>
      </c>
      <c r="AE24" s="198"/>
    </row>
    <row r="25" spans="1:31" x14ac:dyDescent="0.2">
      <c r="A25" s="176">
        <f t="shared" si="13"/>
        <v>10</v>
      </c>
      <c r="B25" s="56"/>
      <c r="C25" s="51">
        <v>0</v>
      </c>
      <c r="D25" s="252">
        <f t="shared" si="10"/>
        <v>0</v>
      </c>
      <c r="E25" s="56"/>
      <c r="F25" s="51">
        <v>0</v>
      </c>
      <c r="G25" s="241">
        <f t="shared" si="0"/>
        <v>0</v>
      </c>
      <c r="H25" s="242">
        <f>IF($A25&lt;=$N$4,H$15*'General Data'!$S17,"")</f>
        <v>612960</v>
      </c>
      <c r="I25" s="243">
        <f>IF(A25&lt;&gt;"",IF(I$15="",VLOOKUP(A25,'DOE Fuel Esc Rates'!$T$9:$W$38,3,TRUE),I$15),"")</f>
        <v>2.1578298397040285E-3</v>
      </c>
      <c r="J25" s="243">
        <f>((1+I25)*(1+'General Data'!$M$25))-1</f>
        <v>3.159987669543618E-3</v>
      </c>
      <c r="K25" s="253">
        <f t="shared" si="11"/>
        <v>629217.8591727186</v>
      </c>
      <c r="L25" s="253">
        <f t="shared" si="1"/>
        <v>456099.80607509665</v>
      </c>
      <c r="M25" s="241">
        <f t="shared" si="2"/>
        <v>468197.1801547645</v>
      </c>
      <c r="N25" s="242">
        <f>IF($A25&lt;=$N$4,N$15*'General Data'!$S17,"")</f>
        <v>26180</v>
      </c>
      <c r="O25" s="243">
        <f>IF(A25&lt;&gt;"",IF(O$15="",VLOOKUP(A25,'DOE Fuel Esc Rates'!$T$9:$W$38,4,TRUE),O$15),"")</f>
        <v>1.6965127238454336E-2</v>
      </c>
      <c r="P25" s="243">
        <f>((1+O25)*(1+'General Data'!$M$25))-1</f>
        <v>1.7982092365692592E-2</v>
      </c>
      <c r="Q25" s="253">
        <f t="shared" si="12"/>
        <v>31811.058558558554</v>
      </c>
      <c r="R25" s="253">
        <f t="shared" si="3"/>
        <v>19480.378691996266</v>
      </c>
      <c r="S25" s="241">
        <f t="shared" si="4"/>
        <v>23670.41509984681</v>
      </c>
      <c r="T25" s="242">
        <f t="shared" si="5"/>
        <v>0</v>
      </c>
      <c r="U25" s="245">
        <f t="shared" si="6"/>
        <v>0</v>
      </c>
      <c r="V25" s="246">
        <f>IF($A25&lt;=$N$4,VLOOKUP(A25,'DOE Fuel Esc Rates'!$T$9:$W$38,2,TRUE),"")</f>
        <v>2024</v>
      </c>
      <c r="W25" s="247">
        <f t="shared" si="7"/>
        <v>661028.91773127718</v>
      </c>
      <c r="X25" s="241">
        <f t="shared" si="8"/>
        <v>491867.59525461134</v>
      </c>
      <c r="Y25" s="248">
        <f>IF(A25&lt;&gt;"",SUM(X$15:X25),"")</f>
        <v>5954785.6667130208</v>
      </c>
      <c r="Z25" s="249">
        <f>IF(A25&lt;&gt;"",LCC0!Y25-Y25,"")</f>
        <v>94176.880739401095</v>
      </c>
      <c r="AA25" s="312" t="str">
        <f>IF(A25&lt;&gt;"",IF(Z25&gt;0,IF(SUM(AA$16:AA24)=0,A24+(-Z24)/(Z25-Z24),""),""),"")</f>
        <v/>
      </c>
      <c r="AB25" s="198"/>
      <c r="AC25" s="251">
        <f t="shared" si="9"/>
        <v>661028.91773127718</v>
      </c>
      <c r="AE25" s="198"/>
    </row>
    <row r="26" spans="1:31" x14ac:dyDescent="0.2">
      <c r="A26" s="176">
        <f t="shared" si="13"/>
        <v>11</v>
      </c>
      <c r="B26" s="56"/>
      <c r="C26" s="51">
        <v>0</v>
      </c>
      <c r="D26" s="252">
        <f t="shared" si="10"/>
        <v>0</v>
      </c>
      <c r="E26" s="56"/>
      <c r="F26" s="51">
        <v>0</v>
      </c>
      <c r="G26" s="241">
        <f t="shared" si="0"/>
        <v>0</v>
      </c>
      <c r="H26" s="242">
        <f>IF($A26&lt;=$N$4,H$15*'General Data'!$S18,"")</f>
        <v>612960</v>
      </c>
      <c r="I26" s="243">
        <f>IF(A26&lt;&gt;"",IF(I$15="",VLOOKUP(A26,'DOE Fuel Esc Rates'!$T$9:$W$38,3,TRUE),I$15),"")</f>
        <v>3.9987696093510827E-3</v>
      </c>
      <c r="J26" s="243">
        <f>((1+I26)*(1+'General Data'!$M$25))-1</f>
        <v>5.0027683789604094E-3</v>
      </c>
      <c r="K26" s="253">
        <f t="shared" si="11"/>
        <v>631733.95642563945</v>
      </c>
      <c r="L26" s="253">
        <f t="shared" si="1"/>
        <v>442815.34570397733</v>
      </c>
      <c r="M26" s="241">
        <f t="shared" si="2"/>
        <v>456378.05127179733</v>
      </c>
      <c r="N26" s="242">
        <f>IF($A26&lt;=$N$4,N$15*'General Data'!$S18,"")</f>
        <v>26180</v>
      </c>
      <c r="O26" s="243">
        <f>IF(A26&lt;&gt;"",IF(O$15="",VLOOKUP(A26,'DOE Fuel Esc Rates'!$T$9:$W$38,4,TRUE),O$15),"")</f>
        <v>2.1316033364226161E-2</v>
      </c>
      <c r="P26" s="243">
        <f>((1+O26)*(1+'General Data'!$M$25))-1</f>
        <v>2.2337349397590245E-2</v>
      </c>
      <c r="Q26" s="253">
        <f t="shared" si="12"/>
        <v>32489.144144144142</v>
      </c>
      <c r="R26" s="253">
        <f t="shared" si="3"/>
        <v>18912.989021355595</v>
      </c>
      <c r="S26" s="241">
        <f t="shared" si="4"/>
        <v>23470.848988213813</v>
      </c>
      <c r="T26" s="242">
        <f t="shared" si="5"/>
        <v>0</v>
      </c>
      <c r="U26" s="245">
        <f t="shared" si="6"/>
        <v>0</v>
      </c>
      <c r="V26" s="246">
        <f>IF($A26&lt;=$N$4,VLOOKUP(A26,'DOE Fuel Esc Rates'!$T$9:$W$38,2,TRUE),"")</f>
        <v>2025</v>
      </c>
      <c r="W26" s="247">
        <f t="shared" si="7"/>
        <v>664223.10056978359</v>
      </c>
      <c r="X26" s="241">
        <f t="shared" si="8"/>
        <v>479848.90026001114</v>
      </c>
      <c r="Y26" s="248">
        <f>IF(A26&lt;&gt;"",SUM(X$15:X26),"")</f>
        <v>6434634.5669730315</v>
      </c>
      <c r="Z26" s="249">
        <f>IF(A26&lt;&gt;"",LCC0!Y26-Y26,"")</f>
        <v>125682.02438270301</v>
      </c>
      <c r="AA26" s="312" t="str">
        <f>IF(A26&lt;&gt;"",IF(Z26&gt;0,IF(SUM(AA$16:AA25)=0,A25+(-Z25)/(Z26-Z25),""),""),"")</f>
        <v/>
      </c>
      <c r="AB26" s="198"/>
      <c r="AC26" s="251">
        <f t="shared" si="9"/>
        <v>664223.10056978359</v>
      </c>
      <c r="AE26" s="198"/>
    </row>
    <row r="27" spans="1:31" x14ac:dyDescent="0.2">
      <c r="A27" s="176">
        <f t="shared" si="13"/>
        <v>12</v>
      </c>
      <c r="B27" s="56"/>
      <c r="C27" s="51">
        <v>0</v>
      </c>
      <c r="D27" s="252">
        <f t="shared" si="10"/>
        <v>0</v>
      </c>
      <c r="E27" s="56"/>
      <c r="F27" s="51">
        <v>0</v>
      </c>
      <c r="G27" s="241">
        <f t="shared" si="0"/>
        <v>0</v>
      </c>
      <c r="H27" s="242">
        <f>IF($A27&lt;=$N$4,H$15*'General Data'!$S19,"")</f>
        <v>612960</v>
      </c>
      <c r="I27" s="243">
        <f>IF(A27&lt;&gt;"",IF(I$15="",VLOOKUP(A27,'DOE Fuel Esc Rates'!$T$9:$W$38,3,TRUE),I$15),"")</f>
        <v>1.5318627450979783E-3</v>
      </c>
      <c r="J27" s="243">
        <f>((1+I27)*(1+'General Data'!$M$25))-1</f>
        <v>2.5333946078429648E-3</v>
      </c>
      <c r="K27" s="253">
        <f t="shared" si="11"/>
        <v>632701.68613830127</v>
      </c>
      <c r="L27" s="253">
        <f t="shared" si="1"/>
        <v>429917.81136308488</v>
      </c>
      <c r="M27" s="241">
        <f t="shared" si="2"/>
        <v>443764.23282157391</v>
      </c>
      <c r="N27" s="242">
        <f>IF($A27&lt;=$N$4,N$15*'General Data'!$S19,"")</f>
        <v>26180</v>
      </c>
      <c r="O27" s="243">
        <f>IF(A27&lt;&gt;"",IF(O$15="",VLOOKUP(A27,'DOE Fuel Esc Rates'!$T$9:$W$38,4,TRUE),O$15),"")</f>
        <v>5.4446460980037692E-3</v>
      </c>
      <c r="P27" s="243">
        <f>((1+O27)*(1+'General Data'!$M$25))-1</f>
        <v>6.4500907441016331E-3</v>
      </c>
      <c r="Q27" s="253">
        <f t="shared" si="12"/>
        <v>32666.036036036039</v>
      </c>
      <c r="R27" s="253">
        <f t="shared" si="3"/>
        <v>18362.125263452039</v>
      </c>
      <c r="S27" s="241">
        <f t="shared" si="4"/>
        <v>22911.300441334304</v>
      </c>
      <c r="T27" s="242">
        <f t="shared" si="5"/>
        <v>0</v>
      </c>
      <c r="U27" s="245">
        <f t="shared" si="6"/>
        <v>0</v>
      </c>
      <c r="V27" s="246">
        <f>IF($A27&lt;=$N$4,VLOOKUP(A27,'DOE Fuel Esc Rates'!$T$9:$W$38,2,TRUE),"")</f>
        <v>2026</v>
      </c>
      <c r="W27" s="247">
        <f t="shared" si="7"/>
        <v>665367.72217433737</v>
      </c>
      <c r="X27" s="241">
        <f t="shared" si="8"/>
        <v>466675.53326290823</v>
      </c>
      <c r="Y27" s="248">
        <f>IF(A27&lt;&gt;"",SUM(X$15:X27),"")</f>
        <v>6901310.10023594</v>
      </c>
      <c r="Z27" s="249">
        <f>IF(A27&lt;&gt;"",LCC0!Y27-Y27,"")</f>
        <v>156313.46945136692</v>
      </c>
      <c r="AA27" s="312" t="str">
        <f>IF(A27&lt;&gt;"",IF(Z27&gt;0,IF(SUM(AA$16:AA26)=0,A26+(-Z26)/(Z27-Z26),""),""),"")</f>
        <v/>
      </c>
      <c r="AB27" s="198"/>
      <c r="AC27" s="251">
        <f t="shared" si="9"/>
        <v>665367.72217433737</v>
      </c>
      <c r="AE27" s="198"/>
    </row>
    <row r="28" spans="1:31" x14ac:dyDescent="0.2">
      <c r="A28" s="176">
        <f t="shared" si="13"/>
        <v>13</v>
      </c>
      <c r="B28" s="56"/>
      <c r="C28" s="51">
        <v>0</v>
      </c>
      <c r="D28" s="252">
        <f t="shared" si="10"/>
        <v>0</v>
      </c>
      <c r="E28" s="56"/>
      <c r="F28" s="51">
        <v>0</v>
      </c>
      <c r="G28" s="241">
        <f t="shared" si="0"/>
        <v>0</v>
      </c>
      <c r="H28" s="242">
        <f>IF($A28&lt;=$N$4,H$15*'General Data'!$S20,"")</f>
        <v>612960</v>
      </c>
      <c r="I28" s="243">
        <f>IF(A28&lt;&gt;"",IF(I$15="",VLOOKUP(A28,'DOE Fuel Esc Rates'!$T$9:$W$38,3,TRUE),I$15),"")</f>
        <v>-4.282655246252709E-3</v>
      </c>
      <c r="J28" s="243">
        <f>((1+I28)*(1+'General Data'!$M$25))-1</f>
        <v>-3.2869379014990319E-3</v>
      </c>
      <c r="K28" s="253">
        <f t="shared" si="11"/>
        <v>629992.04294284817</v>
      </c>
      <c r="L28" s="253">
        <f t="shared" si="1"/>
        <v>417395.93336221832</v>
      </c>
      <c r="M28" s="241">
        <f t="shared" si="2"/>
        <v>428993.92582697212</v>
      </c>
      <c r="N28" s="242">
        <f>IF($A28&lt;=$N$4,N$15*'General Data'!$S20,"")</f>
        <v>26180</v>
      </c>
      <c r="O28" s="243">
        <f>IF(A28&lt;&gt;"",IF(O$15="",VLOOKUP(A28,'DOE Fuel Esc Rates'!$T$9:$W$38,4,TRUE),O$15),"")</f>
        <v>-7.2202166064981865E-3</v>
      </c>
      <c r="P28" s="243">
        <f>((1+O28)*(1+'General Data'!$M$25))-1</f>
        <v>-6.2274368231047816E-3</v>
      </c>
      <c r="Q28" s="253">
        <f t="shared" si="12"/>
        <v>32430.180180180185</v>
      </c>
      <c r="R28" s="253">
        <f t="shared" si="3"/>
        <v>17827.306081021397</v>
      </c>
      <c r="S28" s="241">
        <f t="shared" si="4"/>
        <v>22083.374649913898</v>
      </c>
      <c r="T28" s="242">
        <f t="shared" si="5"/>
        <v>0</v>
      </c>
      <c r="U28" s="245">
        <f t="shared" si="6"/>
        <v>0</v>
      </c>
      <c r="V28" s="246">
        <f>IF($A28&lt;=$N$4,VLOOKUP(A28,'DOE Fuel Esc Rates'!$T$9:$W$38,2,TRUE),"")</f>
        <v>2027</v>
      </c>
      <c r="W28" s="247">
        <f t="shared" si="7"/>
        <v>662422.22312302841</v>
      </c>
      <c r="X28" s="241">
        <f t="shared" si="8"/>
        <v>451077.30047688604</v>
      </c>
      <c r="Y28" s="248">
        <f>IF(A28&lt;&gt;"",SUM(X$15:X28),"")</f>
        <v>7352387.4007128263</v>
      </c>
      <c r="Z28" s="249">
        <f>IF(A28&lt;&gt;"",LCC0!Y28-Y28,"")</f>
        <v>185927.51996728685</v>
      </c>
      <c r="AA28" s="312" t="str">
        <f>IF(A28&lt;&gt;"",IF(Z28&gt;0,IF(SUM(AA$16:AA27)=0,A27+(-Z27)/(Z28-Z27),""),""),"")</f>
        <v/>
      </c>
      <c r="AB28" s="198"/>
      <c r="AC28" s="251">
        <f t="shared" si="9"/>
        <v>662422.22312302841</v>
      </c>
      <c r="AE28" s="198"/>
    </row>
    <row r="29" spans="1:31" x14ac:dyDescent="0.2">
      <c r="A29" s="176">
        <f t="shared" si="13"/>
        <v>14</v>
      </c>
      <c r="B29" s="56"/>
      <c r="C29" s="51">
        <v>0</v>
      </c>
      <c r="D29" s="252">
        <f t="shared" si="10"/>
        <v>0</v>
      </c>
      <c r="E29" s="56"/>
      <c r="F29" s="51">
        <v>0</v>
      </c>
      <c r="G29" s="241">
        <f t="shared" si="0"/>
        <v>0</v>
      </c>
      <c r="H29" s="242">
        <f>IF($A29&lt;=$N$4,H$15*'General Data'!$S21,"")</f>
        <v>612960</v>
      </c>
      <c r="I29" s="243">
        <f>IF(A29&lt;&gt;"",IF(I$15="",VLOOKUP(A29,'DOE Fuel Esc Rates'!$T$9:$W$38,3,TRUE),I$15),"")</f>
        <v>-7.0660522273424675E-3</v>
      </c>
      <c r="J29" s="243">
        <f>((1+I29)*(1+'General Data'!$M$25))-1</f>
        <v>-6.0731182795699112E-3</v>
      </c>
      <c r="K29" s="253">
        <f t="shared" si="11"/>
        <v>625540.48626460379</v>
      </c>
      <c r="L29" s="253">
        <f t="shared" si="1"/>
        <v>405238.77025458083</v>
      </c>
      <c r="M29" s="241">
        <f t="shared" si="2"/>
        <v>413555.953729967</v>
      </c>
      <c r="N29" s="242">
        <f>IF($A29&lt;=$N$4,N$15*'General Data'!$S21,"")</f>
        <v>26180</v>
      </c>
      <c r="O29" s="243">
        <f>IF(A29&lt;&gt;"",IF(O$15="",VLOOKUP(A29,'DOE Fuel Esc Rates'!$T$9:$W$38,4,TRUE),O$15),"")</f>
        <v>-4.5454545454546302E-3</v>
      </c>
      <c r="P29" s="243">
        <f>((1+O29)*(1+'General Data'!$M$25))-1</f>
        <v>-3.5500000000001641E-3</v>
      </c>
      <c r="Q29" s="253">
        <f t="shared" si="12"/>
        <v>32282.770270270274</v>
      </c>
      <c r="R29" s="253">
        <f t="shared" si="3"/>
        <v>17308.064156331453</v>
      </c>
      <c r="S29" s="241">
        <f t="shared" si="4"/>
        <v>21342.714246827636</v>
      </c>
      <c r="T29" s="242">
        <f t="shared" si="5"/>
        <v>0</v>
      </c>
      <c r="U29" s="245">
        <f t="shared" si="6"/>
        <v>0</v>
      </c>
      <c r="V29" s="246">
        <f>IF($A29&lt;=$N$4,VLOOKUP(A29,'DOE Fuel Esc Rates'!$T$9:$W$38,2,TRUE),"")</f>
        <v>2028</v>
      </c>
      <c r="W29" s="247">
        <f t="shared" si="7"/>
        <v>657823.25653487409</v>
      </c>
      <c r="X29" s="241">
        <f t="shared" si="8"/>
        <v>434898.66797679465</v>
      </c>
      <c r="Y29" s="248">
        <f>IF(A29&lt;&gt;"",SUM(X$15:X29),"")</f>
        <v>7787286.0686896211</v>
      </c>
      <c r="Z29" s="249">
        <f>IF(A29&lt;&gt;"",LCC0!Y29-Y29,"")</f>
        <v>214474.09042985924</v>
      </c>
      <c r="AA29" s="312" t="str">
        <f>IF(A29&lt;&gt;"",IF(Z29&gt;0,IF(SUM(AA$16:AA28)=0,A28+(-Z28)/(Z29-Z28),""),""),"")</f>
        <v/>
      </c>
      <c r="AB29" s="198"/>
      <c r="AC29" s="251">
        <f t="shared" si="9"/>
        <v>657823.25653487409</v>
      </c>
      <c r="AE29" s="198"/>
    </row>
    <row r="30" spans="1:31" x14ac:dyDescent="0.2">
      <c r="A30" s="176">
        <f t="shared" si="13"/>
        <v>15</v>
      </c>
      <c r="B30" s="56" t="s">
        <v>51</v>
      </c>
      <c r="C30" s="51">
        <v>0</v>
      </c>
      <c r="D30" s="252">
        <f t="shared" si="10"/>
        <v>0</v>
      </c>
      <c r="E30" s="56"/>
      <c r="F30" s="51">
        <v>0</v>
      </c>
      <c r="G30" s="241">
        <f t="shared" si="0"/>
        <v>0</v>
      </c>
      <c r="H30" s="242">
        <f>IF($A30&lt;=$N$4,H$15*'General Data'!$S22,"")</f>
        <v>612960</v>
      </c>
      <c r="I30" s="243">
        <f>IF(A30&lt;&gt;"",IF(I$15="",VLOOKUP(A30,'DOE Fuel Esc Rates'!$T$9:$W$38,3,TRUE),I$15),"")</f>
        <v>-2.7846534653466204E-3</v>
      </c>
      <c r="J30" s="243">
        <f>((1+I30)*(1+'General Data'!$M$25))-1</f>
        <v>-1.7874381188121014E-3</v>
      </c>
      <c r="K30" s="253">
        <f t="shared" si="11"/>
        <v>623798.5727818124</v>
      </c>
      <c r="L30" s="253">
        <f t="shared" si="1"/>
        <v>393435.69927629206</v>
      </c>
      <c r="M30" s="241">
        <f t="shared" si="2"/>
        <v>400392.56670902722</v>
      </c>
      <c r="N30" s="242">
        <f>IF($A30&lt;=$N$4,N$15*'General Data'!$S22,"")</f>
        <v>26180</v>
      </c>
      <c r="O30" s="243">
        <f>IF(A30&lt;&gt;"",IF(O$15="",VLOOKUP(A30,'DOE Fuel Esc Rates'!$T$9:$W$38,4,TRUE),O$15),"")</f>
        <v>2.73972602739736E-3</v>
      </c>
      <c r="P30" s="243">
        <f>((1+O30)*(1+'General Data'!$M$25))-1</f>
        <v>3.7424657534246286E-3</v>
      </c>
      <c r="Q30" s="253">
        <f t="shared" si="12"/>
        <v>32371.216216216224</v>
      </c>
      <c r="R30" s="253">
        <f t="shared" si="3"/>
        <v>16803.945782846069</v>
      </c>
      <c r="S30" s="241">
        <f t="shared" si="4"/>
        <v>20777.851880140752</v>
      </c>
      <c r="T30" s="242">
        <f t="shared" si="5"/>
        <v>0</v>
      </c>
      <c r="U30" s="245">
        <f t="shared" si="6"/>
        <v>0</v>
      </c>
      <c r="V30" s="246">
        <f>IF($A30&lt;=$N$4,VLOOKUP(A30,'DOE Fuel Esc Rates'!$T$9:$W$38,2,TRUE),"")</f>
        <v>2029</v>
      </c>
      <c r="W30" s="247">
        <f t="shared" si="7"/>
        <v>656169.78899802861</v>
      </c>
      <c r="X30" s="241">
        <f t="shared" si="8"/>
        <v>421170.418589168</v>
      </c>
      <c r="Y30" s="248">
        <f>IF(A30&lt;&gt;"",SUM(X$15:X30),"")</f>
        <v>8208456.4872787893</v>
      </c>
      <c r="Z30" s="249">
        <f>IF(A30&lt;&gt;"",LCC0!Y30-Y30,"")</f>
        <v>242108.27006791718</v>
      </c>
      <c r="AA30" s="312" t="str">
        <f>IF(A30&lt;&gt;"",IF(Z30&gt;0,IF(SUM(AA$16:AA29)=0,A29+(-Z29)/(Z30-Z29),""),""),"")</f>
        <v/>
      </c>
      <c r="AB30" s="198"/>
      <c r="AC30" s="251">
        <f t="shared" si="9"/>
        <v>656169.78899802861</v>
      </c>
      <c r="AE30" s="198"/>
    </row>
    <row r="31" spans="1:31" x14ac:dyDescent="0.2">
      <c r="A31" s="176">
        <f t="shared" si="13"/>
        <v>16</v>
      </c>
      <c r="B31" s="56"/>
      <c r="C31" s="51">
        <v>0</v>
      </c>
      <c r="D31" s="252">
        <f t="shared" si="10"/>
        <v>0</v>
      </c>
      <c r="E31" s="56"/>
      <c r="F31" s="51">
        <v>0</v>
      </c>
      <c r="G31" s="241">
        <f t="shared" si="0"/>
        <v>0</v>
      </c>
      <c r="H31" s="242">
        <f>IF($A31&lt;=$N$4,H$15*'General Data'!$S23,"")</f>
        <v>612960</v>
      </c>
      <c r="I31" s="243">
        <f>IF(A31&lt;&gt;"",IF(I$15="",VLOOKUP(A31,'DOE Fuel Esc Rates'!$T$9:$W$38,3,TRUE),I$15),"")</f>
        <v>-1.2410797393732631E-3</v>
      </c>
      <c r="J31" s="243">
        <f>((1+I31)*(1+'General Data'!$M$25))-1</f>
        <v>-2.4232081911279568E-4</v>
      </c>
      <c r="K31" s="253">
        <f t="shared" si="11"/>
        <v>623024.38901168294</v>
      </c>
      <c r="L31" s="253">
        <f t="shared" si="1"/>
        <v>381976.40706436132</v>
      </c>
      <c r="M31" s="241">
        <f t="shared" si="2"/>
        <v>388248.20155989233</v>
      </c>
      <c r="N31" s="242">
        <f>IF($A31&lt;=$N$4,N$15*'General Data'!$S23,"")</f>
        <v>26180</v>
      </c>
      <c r="O31" s="243">
        <f>IF(A31&lt;&gt;"",IF(O$15="",VLOOKUP(A31,'DOE Fuel Esc Rates'!$T$9:$W$38,4,TRUE),O$15),"")</f>
        <v>8.1967213114753079E-3</v>
      </c>
      <c r="P31" s="243">
        <f>((1+O31)*(1+'General Data'!$M$25))-1</f>
        <v>9.2049180327866686E-3</v>
      </c>
      <c r="Q31" s="253">
        <f t="shared" si="12"/>
        <v>32636.554054054057</v>
      </c>
      <c r="R31" s="253">
        <f t="shared" si="3"/>
        <v>16314.510468782593</v>
      </c>
      <c r="S31" s="241">
        <f t="shared" si="4"/>
        <v>20338.021496556681</v>
      </c>
      <c r="T31" s="242">
        <f t="shared" si="5"/>
        <v>0</v>
      </c>
      <c r="U31" s="245">
        <f t="shared" si="6"/>
        <v>0</v>
      </c>
      <c r="V31" s="246">
        <f>IF($A31&lt;=$N$4,VLOOKUP(A31,'DOE Fuel Esc Rates'!$T$9:$W$38,2,TRUE),"")</f>
        <v>2030</v>
      </c>
      <c r="W31" s="247">
        <f t="shared" si="7"/>
        <v>655660.94306573702</v>
      </c>
      <c r="X31" s="241">
        <f t="shared" si="8"/>
        <v>408586.22305644903</v>
      </c>
      <c r="Y31" s="248">
        <f>IF(A31&lt;&gt;"",SUM(X$15:X31),"")</f>
        <v>8617042.7103352379</v>
      </c>
      <c r="Z31" s="249">
        <f>IF(A31&lt;&gt;"",LCC0!Y31-Y31,"")</f>
        <v>268898.01931149699</v>
      </c>
      <c r="AA31" s="312" t="str">
        <f>IF(A31&lt;&gt;"",IF(Z31&gt;0,IF(SUM(AA$16:AA30)=0,A30+(-Z30)/(Z31-Z30),""),""),"")</f>
        <v/>
      </c>
      <c r="AB31" s="198"/>
      <c r="AC31" s="251">
        <f t="shared" si="9"/>
        <v>655660.94306573702</v>
      </c>
      <c r="AE31" s="198"/>
    </row>
    <row r="32" spans="1:31" x14ac:dyDescent="0.2">
      <c r="A32" s="176">
        <f t="shared" si="13"/>
        <v>17</v>
      </c>
      <c r="B32" s="56"/>
      <c r="C32" s="51">
        <v>0</v>
      </c>
      <c r="D32" s="252">
        <f t="shared" si="10"/>
        <v>0</v>
      </c>
      <c r="E32" s="56"/>
      <c r="F32" s="51">
        <v>0</v>
      </c>
      <c r="G32" s="241">
        <f t="shared" si="0"/>
        <v>0</v>
      </c>
      <c r="H32" s="242">
        <f>IF($A32&lt;=$N$4,H$15*'General Data'!$S24,"")</f>
        <v>612960</v>
      </c>
      <c r="I32" s="243">
        <f>IF(A32&lt;&gt;"",IF(I$15="",VLOOKUP(A32,'DOE Fuel Esc Rates'!$T$9:$W$38,3,TRUE),I$15),"")</f>
        <v>0</v>
      </c>
      <c r="J32" s="243">
        <f>((1+I32)*(1+'General Data'!$M$25))-1</f>
        <v>9.9999999999988987E-4</v>
      </c>
      <c r="K32" s="253">
        <f t="shared" si="11"/>
        <v>623024.38901168294</v>
      </c>
      <c r="L32" s="253">
        <f t="shared" si="1"/>
        <v>370850.88064501097</v>
      </c>
      <c r="M32" s="241">
        <f t="shared" si="2"/>
        <v>376940.00151445856</v>
      </c>
      <c r="N32" s="242">
        <f>IF($A32&lt;=$N$4,N$15*'General Data'!$S24,"")</f>
        <v>26180</v>
      </c>
      <c r="O32" s="243">
        <f>IF(A32&lt;&gt;"",IF(O$15="",VLOOKUP(A32,'DOE Fuel Esc Rates'!$T$9:$W$38,4,TRUE),O$15),"")</f>
        <v>1.6260162601625883E-2</v>
      </c>
      <c r="P32" s="243">
        <f>((1+O32)*(1+'General Data'!$M$25))-1</f>
        <v>1.7276422764227473E-2</v>
      </c>
      <c r="Q32" s="253">
        <f t="shared" si="12"/>
        <v>33167.229729729726</v>
      </c>
      <c r="R32" s="253">
        <f t="shared" si="3"/>
        <v>15839.33055221611</v>
      </c>
      <c r="S32" s="241">
        <f t="shared" si="4"/>
        <v>20066.719449598113</v>
      </c>
      <c r="T32" s="242">
        <f t="shared" si="5"/>
        <v>0</v>
      </c>
      <c r="U32" s="245">
        <f t="shared" si="6"/>
        <v>0</v>
      </c>
      <c r="V32" s="246">
        <f>IF($A32&lt;=$N$4,VLOOKUP(A32,'DOE Fuel Esc Rates'!$T$9:$W$38,2,TRUE),"")</f>
        <v>2031</v>
      </c>
      <c r="W32" s="247">
        <f t="shared" si="7"/>
        <v>656191.61874141265</v>
      </c>
      <c r="X32" s="241">
        <f t="shared" si="8"/>
        <v>397006.72096405667</v>
      </c>
      <c r="Y32" s="248">
        <f>IF(A32&lt;&gt;"",SUM(X$15:X32),"")</f>
        <v>9014049.4312992953</v>
      </c>
      <c r="Z32" s="249">
        <f>IF(A32&lt;&gt;"",LCC0!Y32-Y32,"")</f>
        <v>294896.93768821284</v>
      </c>
      <c r="AA32" s="312" t="str">
        <f>IF(A32&lt;&gt;"",IF(Z32&gt;0,IF(SUM(AA$16:AA31)=0,A31+(-Z31)/(Z32-Z31),""),""),"")</f>
        <v/>
      </c>
      <c r="AB32" s="198"/>
      <c r="AC32" s="251">
        <f t="shared" si="9"/>
        <v>656191.61874141265</v>
      </c>
      <c r="AE32" s="198"/>
    </row>
    <row r="33" spans="1:31" x14ac:dyDescent="0.2">
      <c r="A33" s="176">
        <f t="shared" si="13"/>
        <v>18</v>
      </c>
      <c r="B33" s="56"/>
      <c r="C33" s="51">
        <v>0</v>
      </c>
      <c r="D33" s="252">
        <f t="shared" si="10"/>
        <v>0</v>
      </c>
      <c r="E33" s="56"/>
      <c r="F33" s="51">
        <v>0</v>
      </c>
      <c r="G33" s="241">
        <f t="shared" si="0"/>
        <v>0</v>
      </c>
      <c r="H33" s="242">
        <f>IF($A33&lt;=$N$4,H$15*'General Data'!$S25,"")</f>
        <v>612960</v>
      </c>
      <c r="I33" s="243">
        <f>IF(A33&lt;&gt;"",IF(I$15="",VLOOKUP(A33,'DOE Fuel Esc Rates'!$T$9:$W$38,3,TRUE),I$15),"")</f>
        <v>2.1745883814849876E-3</v>
      </c>
      <c r="J33" s="243">
        <f>((1+I33)*(1+'General Data'!$M$25))-1</f>
        <v>3.1767629698664646E-3</v>
      </c>
      <c r="K33" s="253">
        <f t="shared" si="11"/>
        <v>624379.21060940949</v>
      </c>
      <c r="L33" s="253">
        <f t="shared" si="1"/>
        <v>360049.39868447668</v>
      </c>
      <c r="M33" s="241">
        <f t="shared" si="2"/>
        <v>366756.98141967843</v>
      </c>
      <c r="N33" s="242">
        <f>IF($A33&lt;=$N$4,N$15*'General Data'!$S25,"")</f>
        <v>26180</v>
      </c>
      <c r="O33" s="243">
        <f>IF(A33&lt;&gt;"",IF(O$15="",VLOOKUP(A33,'DOE Fuel Esc Rates'!$T$9:$W$38,4,TRUE),O$15),"")</f>
        <v>1.3333333333333419E-2</v>
      </c>
      <c r="P33" s="243">
        <f>((1+O33)*(1+'General Data'!$M$25))-1</f>
        <v>1.434666666666673E-2</v>
      </c>
      <c r="Q33" s="253">
        <f t="shared" si="12"/>
        <v>33609.45945945946</v>
      </c>
      <c r="R33" s="253">
        <f t="shared" si="3"/>
        <v>15377.990827394282</v>
      </c>
      <c r="S33" s="241">
        <f t="shared" si="4"/>
        <v>19742.015251384553</v>
      </c>
      <c r="T33" s="242">
        <f t="shared" si="5"/>
        <v>0</v>
      </c>
      <c r="U33" s="245">
        <f t="shared" si="6"/>
        <v>0</v>
      </c>
      <c r="V33" s="246">
        <f>IF($A33&lt;=$N$4,VLOOKUP(A33,'DOE Fuel Esc Rates'!$T$9:$W$38,2,TRUE),"")</f>
        <v>2032</v>
      </c>
      <c r="W33" s="247">
        <f t="shared" si="7"/>
        <v>657988.6700688689</v>
      </c>
      <c r="X33" s="241">
        <f t="shared" si="8"/>
        <v>386498.99667106301</v>
      </c>
      <c r="Y33" s="248">
        <f>IF(A33&lt;&gt;"",SUM(X$15:X33),"")</f>
        <v>9400548.4279703591</v>
      </c>
      <c r="Z33" s="249">
        <f>IF(A33&lt;&gt;"",LCC0!Y33-Y33,"")</f>
        <v>320186.35485452972</v>
      </c>
      <c r="AA33" s="312" t="str">
        <f>IF(A33&lt;&gt;"",IF(Z33&gt;0,IF(SUM(AA$16:AA32)=0,A32+(-Z32)/(Z33-Z32),""),""),"")</f>
        <v/>
      </c>
      <c r="AB33" s="198"/>
      <c r="AC33" s="251">
        <f t="shared" si="9"/>
        <v>657988.6700688689</v>
      </c>
      <c r="AE33" s="198"/>
    </row>
    <row r="34" spans="1:31" x14ac:dyDescent="0.2">
      <c r="A34" s="176">
        <f t="shared" si="13"/>
        <v>19</v>
      </c>
      <c r="B34" s="56"/>
      <c r="C34" s="51">
        <v>0</v>
      </c>
      <c r="D34" s="252">
        <f t="shared" si="10"/>
        <v>0</v>
      </c>
      <c r="E34" s="56"/>
      <c r="F34" s="51">
        <v>0</v>
      </c>
      <c r="G34" s="241">
        <f t="shared" si="0"/>
        <v>0</v>
      </c>
      <c r="H34" s="242">
        <f>IF($A34&lt;=$N$4,H$15*'General Data'!$S26,"")</f>
        <v>612960</v>
      </c>
      <c r="I34" s="243">
        <f>IF(A34&lt;&gt;"",IF(I$15="",VLOOKUP(A34,'DOE Fuel Esc Rates'!$T$9:$W$38,3,TRUE),I$15),"")</f>
        <v>1.2399256044637319E-3</v>
      </c>
      <c r="J34" s="243">
        <f>((1+I34)*(1+'General Data'!$M$25))-1</f>
        <v>2.2411655300680344E-3</v>
      </c>
      <c r="K34" s="253">
        <f t="shared" si="11"/>
        <v>625153.39437953895</v>
      </c>
      <c r="L34" s="253">
        <f t="shared" si="1"/>
        <v>349562.52299463755</v>
      </c>
      <c r="M34" s="241">
        <f t="shared" si="2"/>
        <v>356516.24542869569</v>
      </c>
      <c r="N34" s="242">
        <f>IF($A34&lt;=$N$4,N$15*'General Data'!$S26,"")</f>
        <v>26180</v>
      </c>
      <c r="O34" s="243">
        <f>IF(A34&lt;&gt;"",IF(O$15="",VLOOKUP(A34,'DOE Fuel Esc Rates'!$T$9:$W$38,4,TRUE),O$15),"")</f>
        <v>1.2280701754385781E-2</v>
      </c>
      <c r="P34" s="243">
        <f>((1+O34)*(1+'General Data'!$M$25))-1</f>
        <v>1.3292982456140079E-2</v>
      </c>
      <c r="Q34" s="253">
        <f t="shared" si="12"/>
        <v>34022.207207207204</v>
      </c>
      <c r="R34" s="253">
        <f t="shared" si="3"/>
        <v>14930.088181936197</v>
      </c>
      <c r="S34" s="241">
        <f t="shared" si="4"/>
        <v>19402.389371570236</v>
      </c>
      <c r="T34" s="242">
        <f t="shared" si="5"/>
        <v>0</v>
      </c>
      <c r="U34" s="245">
        <f t="shared" si="6"/>
        <v>0</v>
      </c>
      <c r="V34" s="246">
        <f>IF($A34&lt;=$N$4,VLOOKUP(A34,'DOE Fuel Esc Rates'!$T$9:$W$38,2,TRUE),"")</f>
        <v>2033</v>
      </c>
      <c r="W34" s="247">
        <f t="shared" si="7"/>
        <v>659175.60158674617</v>
      </c>
      <c r="X34" s="241">
        <f t="shared" si="8"/>
        <v>375918.63480026595</v>
      </c>
      <c r="Y34" s="248">
        <f>IF(A34&lt;&gt;"",SUM(X$15:X34),"")</f>
        <v>9776467.0627706256</v>
      </c>
      <c r="Z34" s="249">
        <f>IF(A34&lt;&gt;"",LCC0!Y34-Y34,"")</f>
        <v>344762.67917379737</v>
      </c>
      <c r="AA34" s="312" t="str">
        <f>IF(A34&lt;&gt;"",IF(Z34&gt;0,IF(SUM(AA$16:AA33)=0,A33+(-Z33)/(Z34-Z33),""),""),"")</f>
        <v/>
      </c>
      <c r="AB34" s="198"/>
      <c r="AC34" s="251">
        <f t="shared" si="9"/>
        <v>659175.60158674617</v>
      </c>
      <c r="AE34" s="198"/>
    </row>
    <row r="35" spans="1:31" x14ac:dyDescent="0.2">
      <c r="A35" s="176">
        <f t="shared" si="13"/>
        <v>20</v>
      </c>
      <c r="B35" s="56"/>
      <c r="C35" s="51">
        <v>0</v>
      </c>
      <c r="D35" s="252">
        <f t="shared" si="10"/>
        <v>0</v>
      </c>
      <c r="E35" s="56" t="s">
        <v>50</v>
      </c>
      <c r="F35" s="51">
        <v>0</v>
      </c>
      <c r="G35" s="241">
        <f t="shared" si="0"/>
        <v>0</v>
      </c>
      <c r="H35" s="242">
        <f>IF($A35&lt;=$N$4,H$15*'General Data'!$S27,"")</f>
        <v>612960</v>
      </c>
      <c r="I35" s="243">
        <f>IF(A35&lt;&gt;"",IF(I$15="",VLOOKUP(A35,'DOE Fuel Esc Rates'!$T$9:$W$38,3,TRUE),I$15),"")</f>
        <v>2.1671826625386803E-3</v>
      </c>
      <c r="J35" s="243">
        <f>((1+I35)*(1+'General Data'!$M$25))-1</f>
        <v>3.1693498452010083E-3</v>
      </c>
      <c r="K35" s="253">
        <f t="shared" si="11"/>
        <v>626508.2159772655</v>
      </c>
      <c r="L35" s="253">
        <f t="shared" si="1"/>
        <v>339381.09028605587</v>
      </c>
      <c r="M35" s="241">
        <f t="shared" si="2"/>
        <v>346882.40898514772</v>
      </c>
      <c r="N35" s="242">
        <f>IF($A35&lt;=$N$4,N$15*'General Data'!$S27,"")</f>
        <v>26180</v>
      </c>
      <c r="O35" s="243">
        <f>IF(A35&lt;&gt;"",IF(O$15="",VLOOKUP(A35,'DOE Fuel Esc Rates'!$T$9:$W$38,4,TRUE),O$15),"")</f>
        <v>1.7331022530329365E-2</v>
      </c>
      <c r="P35" s="243">
        <f>((1+O35)*(1+'General Data'!$M$25))-1</f>
        <v>1.8348353552859686E-2</v>
      </c>
      <c r="Q35" s="253">
        <f t="shared" si="12"/>
        <v>34611.846846846849</v>
      </c>
      <c r="R35" s="253">
        <f t="shared" si="3"/>
        <v>14495.23124459825</v>
      </c>
      <c r="S35" s="241">
        <f t="shared" si="4"/>
        <v>19163.740406709851</v>
      </c>
      <c r="T35" s="242">
        <f t="shared" si="5"/>
        <v>0</v>
      </c>
      <c r="U35" s="245">
        <f t="shared" si="6"/>
        <v>0</v>
      </c>
      <c r="V35" s="246">
        <f>IF($A35&lt;=$N$4,VLOOKUP(A35,'DOE Fuel Esc Rates'!$T$9:$W$38,2,TRUE),"")</f>
        <v>2034</v>
      </c>
      <c r="W35" s="247">
        <f t="shared" si="7"/>
        <v>661120.06282411236</v>
      </c>
      <c r="X35" s="241">
        <f t="shared" si="8"/>
        <v>366046.14939185756</v>
      </c>
      <c r="Y35" s="248">
        <f>IF(A35&lt;&gt;"",SUM(X$15:X35),"")</f>
        <v>10142513.212162483</v>
      </c>
      <c r="Z35" s="249">
        <f>IF(A35&lt;&gt;"",LCC0!Y35-Y35,"")</f>
        <v>368665.51499477401</v>
      </c>
      <c r="AA35" s="312" t="str">
        <f>IF(A35&lt;&gt;"",IF(Z35&gt;0,IF(SUM(AA$16:AA34)=0,A34+(-Z34)/(Z35-Z34),""),""),"")</f>
        <v/>
      </c>
      <c r="AB35" s="198"/>
      <c r="AC35" s="251">
        <f t="shared" si="9"/>
        <v>661120.06282411236</v>
      </c>
      <c r="AE35" s="198"/>
    </row>
    <row r="36" spans="1:31" x14ac:dyDescent="0.2">
      <c r="A36" s="176">
        <f t="shared" si="13"/>
        <v>21</v>
      </c>
      <c r="B36" s="56"/>
      <c r="C36" s="51">
        <v>0</v>
      </c>
      <c r="D36" s="252">
        <f t="shared" si="10"/>
        <v>0</v>
      </c>
      <c r="E36" s="56"/>
      <c r="F36" s="51">
        <v>0</v>
      </c>
      <c r="G36" s="241">
        <f t="shared" si="0"/>
        <v>0</v>
      </c>
      <c r="H36" s="242">
        <f>IF($A36&lt;=$N$4,H$15*'General Data'!$S28,"")</f>
        <v>612960</v>
      </c>
      <c r="I36" s="243">
        <f>IF(A36&lt;&gt;"",IF(I$15="",VLOOKUP(A36,'DOE Fuel Esc Rates'!$T$9:$W$38,3,TRUE),I$15),"")</f>
        <v>2.780352177942591E-3</v>
      </c>
      <c r="J36" s="243">
        <f>((1+I36)*(1+'General Data'!$M$25))-1</f>
        <v>3.7831325301205254E-3</v>
      </c>
      <c r="K36" s="253">
        <f t="shared" si="11"/>
        <v>628250.12946005678</v>
      </c>
      <c r="L36" s="253">
        <f t="shared" si="1"/>
        <v>329496.20416121936</v>
      </c>
      <c r="M36" s="241">
        <f t="shared" si="2"/>
        <v>337715.40218102868</v>
      </c>
      <c r="N36" s="242">
        <f>IF($A36&lt;=$N$4,N$15*'General Data'!$S28,"")</f>
        <v>26180</v>
      </c>
      <c r="O36" s="243">
        <f>IF(A36&lt;&gt;"",IF(O$15="",VLOOKUP(A36,'DOE Fuel Esc Rates'!$T$9:$W$38,4,TRUE),O$15),"")</f>
        <v>1.7035775127768327E-2</v>
      </c>
      <c r="P36" s="243">
        <f>((1+O36)*(1+'General Data'!$M$25))-1</f>
        <v>1.8052810902895899E-2</v>
      </c>
      <c r="Q36" s="253">
        <f t="shared" si="12"/>
        <v>35201.486486486487</v>
      </c>
      <c r="R36" s="253">
        <f t="shared" si="3"/>
        <v>14073.040043299274</v>
      </c>
      <c r="S36" s="241">
        <f t="shared" si="4"/>
        <v>18922.533571733482</v>
      </c>
      <c r="T36" s="242">
        <f t="shared" si="5"/>
        <v>0</v>
      </c>
      <c r="U36" s="245">
        <f t="shared" si="6"/>
        <v>0</v>
      </c>
      <c r="V36" s="246">
        <f>IF($A36&lt;=$N$4,VLOOKUP(A36,'DOE Fuel Esc Rates'!$T$9:$W$38,2,TRUE),"")</f>
        <v>2035</v>
      </c>
      <c r="W36" s="247">
        <f t="shared" si="7"/>
        <v>663451.61594654329</v>
      </c>
      <c r="X36" s="241">
        <f t="shared" si="8"/>
        <v>356637.93575276213</v>
      </c>
      <c r="Y36" s="248">
        <f>IF(A36&lt;&gt;"",SUM(X$15:X36),"")</f>
        <v>10499151.147915246</v>
      </c>
      <c r="Z36" s="249">
        <f>IF(A36&lt;&gt;"",LCC0!Y36-Y36,"")</f>
        <v>391927.96165295877</v>
      </c>
      <c r="AA36" s="312" t="str">
        <f>IF(A36&lt;&gt;"",IF(Z36&gt;0,IF(SUM(AA$16:AA35)=0,A35+(-Z35)/(Z36-Z35),""),""),"")</f>
        <v/>
      </c>
      <c r="AB36" s="198"/>
      <c r="AC36" s="251">
        <f t="shared" si="9"/>
        <v>663451.61594654329</v>
      </c>
      <c r="AE36" s="198"/>
    </row>
    <row r="37" spans="1:31" x14ac:dyDescent="0.2">
      <c r="A37" s="176">
        <f t="shared" si="13"/>
        <v>22</v>
      </c>
      <c r="B37" s="56"/>
      <c r="C37" s="51">
        <v>0</v>
      </c>
      <c r="D37" s="252">
        <f t="shared" si="10"/>
        <v>0</v>
      </c>
      <c r="E37" s="56"/>
      <c r="F37" s="51">
        <v>0</v>
      </c>
      <c r="G37" s="241">
        <f t="shared" si="0"/>
        <v>0</v>
      </c>
      <c r="H37" s="242">
        <f>IF($A37&lt;=$N$4,H$15*'General Data'!$S29,"")</f>
        <v>612960</v>
      </c>
      <c r="I37" s="243">
        <f>IF(A37&lt;&gt;"",IF(I$15="",VLOOKUP(A37,'DOE Fuel Esc Rates'!$T$9:$W$38,3,TRUE),I$15),"")</f>
        <v>4.6210720887245316E-3</v>
      </c>
      <c r="J37" s="243">
        <f>((1+I37)*(1+'General Data'!$M$25))-1</f>
        <v>5.6256931608131833E-3</v>
      </c>
      <c r="K37" s="253">
        <f t="shared" si="11"/>
        <v>631153.31859804224</v>
      </c>
      <c r="L37" s="253">
        <f t="shared" si="1"/>
        <v>319899.22734098963</v>
      </c>
      <c r="M37" s="241">
        <f t="shared" si="2"/>
        <v>329394.18388347555</v>
      </c>
      <c r="N37" s="242">
        <f>IF($A37&lt;=$N$4,N$15*'General Data'!$S29,"")</f>
        <v>26180</v>
      </c>
      <c r="O37" s="243">
        <f>IF(A37&lt;&gt;"",IF(O$15="",VLOOKUP(A37,'DOE Fuel Esc Rates'!$T$9:$W$38,4,TRUE),O$15),"")</f>
        <v>1.0050251256281451E-2</v>
      </c>
      <c r="P37" s="243">
        <f>((1+O37)*(1+'General Data'!$M$25))-1</f>
        <v>1.1060301507537673E-2</v>
      </c>
      <c r="Q37" s="253">
        <f t="shared" si="12"/>
        <v>35555.270270270274</v>
      </c>
      <c r="R37" s="253">
        <f t="shared" si="3"/>
        <v>13663.14567310609</v>
      </c>
      <c r="S37" s="241">
        <f t="shared" si="4"/>
        <v>18556.028920907596</v>
      </c>
      <c r="T37" s="242">
        <f t="shared" si="5"/>
        <v>0</v>
      </c>
      <c r="U37" s="245">
        <f t="shared" si="6"/>
        <v>0</v>
      </c>
      <c r="V37" s="246">
        <f>IF($A37&lt;=$N$4,VLOOKUP(A37,'DOE Fuel Esc Rates'!$T$9:$W$38,2,TRUE),"")</f>
        <v>2036</v>
      </c>
      <c r="W37" s="247">
        <f t="shared" si="7"/>
        <v>666708.58886831254</v>
      </c>
      <c r="X37" s="241">
        <f t="shared" si="8"/>
        <v>347950.21280438313</v>
      </c>
      <c r="Y37" s="248">
        <f>IF(A37&lt;&gt;"",SUM(X$15:X37),"")</f>
        <v>10847101.360719629</v>
      </c>
      <c r="Z37" s="249">
        <f>IF(A37&lt;&gt;"",LCC0!Y37-Y37,"")</f>
        <v>414613.95130928233</v>
      </c>
      <c r="AA37" s="312" t="str">
        <f>IF(A37&lt;&gt;"",IF(Z37&gt;0,IF(SUM(AA$16:AA36)=0,A36+(-Z36)/(Z37-Z36),""),""),"")</f>
        <v/>
      </c>
      <c r="AB37" s="198"/>
      <c r="AC37" s="251">
        <f t="shared" si="9"/>
        <v>666708.58886831254</v>
      </c>
      <c r="AE37" s="198"/>
    </row>
    <row r="38" spans="1:31" x14ac:dyDescent="0.2">
      <c r="A38" s="176">
        <f t="shared" si="13"/>
        <v>23</v>
      </c>
      <c r="B38" s="56"/>
      <c r="C38" s="51">
        <v>0</v>
      </c>
      <c r="D38" s="252">
        <f t="shared" si="10"/>
        <v>0</v>
      </c>
      <c r="E38" s="56"/>
      <c r="F38" s="51">
        <v>0</v>
      </c>
      <c r="G38" s="241">
        <f t="shared" si="0"/>
        <v>0</v>
      </c>
      <c r="H38" s="242">
        <f>IF($A38&lt;=$N$4,H$15*'General Data'!$S30,"")</f>
        <v>612960</v>
      </c>
      <c r="I38" s="243">
        <f>IF(A38&lt;&gt;"",IF(I$15="",VLOOKUP(A38,'DOE Fuel Esc Rates'!$T$9:$W$38,3,TRUE),I$15),"")</f>
        <v>4.9064704078505272E-3</v>
      </c>
      <c r="J38" s="243">
        <f>((1+I38)*(1+'General Data'!$M$25))-1</f>
        <v>5.9113768782581566E-3</v>
      </c>
      <c r="K38" s="253">
        <f t="shared" si="11"/>
        <v>634250.05367856019</v>
      </c>
      <c r="L38" s="253">
        <f t="shared" si="1"/>
        <v>310581.77411746565</v>
      </c>
      <c r="M38" s="241">
        <f t="shared" si="2"/>
        <v>321369.26864001737</v>
      </c>
      <c r="N38" s="242">
        <f>IF($A38&lt;=$N$4,N$15*'General Data'!$S30,"")</f>
        <v>26180</v>
      </c>
      <c r="O38" s="243">
        <f>IF(A38&lt;&gt;"",IF(O$15="",VLOOKUP(A38,'DOE Fuel Esc Rates'!$T$9:$W$38,4,TRUE),O$15),"")</f>
        <v>1.8242122719734466E-2</v>
      </c>
      <c r="P38" s="243">
        <f>((1+O38)*(1+'General Data'!$M$25))-1</f>
        <v>1.9260364842454081E-2</v>
      </c>
      <c r="Q38" s="253">
        <f t="shared" si="12"/>
        <v>36203.873873873868</v>
      </c>
      <c r="R38" s="253">
        <f t="shared" si="3"/>
        <v>13265.189973889406</v>
      </c>
      <c r="S38" s="241">
        <f t="shared" si="4"/>
        <v>18344.204153081293</v>
      </c>
      <c r="T38" s="242">
        <f t="shared" si="5"/>
        <v>0</v>
      </c>
      <c r="U38" s="245">
        <f t="shared" si="6"/>
        <v>0</v>
      </c>
      <c r="V38" s="246">
        <f>IF($A38&lt;=$N$4,VLOOKUP(A38,'DOE Fuel Esc Rates'!$T$9:$W$38,2,TRUE),"")</f>
        <v>2037</v>
      </c>
      <c r="W38" s="247">
        <f t="shared" si="7"/>
        <v>670453.92755243403</v>
      </c>
      <c r="X38" s="241">
        <f t="shared" si="8"/>
        <v>339713.47279309866</v>
      </c>
      <c r="Y38" s="248">
        <f>IF(A38&lt;&gt;"",SUM(X$15:X38),"")</f>
        <v>11186814.833512727</v>
      </c>
      <c r="Z38" s="249">
        <f>IF(A38&lt;&gt;"",LCC0!Y38-Y38,"")</f>
        <v>436739.35806839354</v>
      </c>
      <c r="AA38" s="312" t="str">
        <f>IF(A38&lt;&gt;"",IF(Z38&gt;0,IF(SUM(AA$16:AA37)=0,A37+(-Z37)/(Z38-Z37),""),""),"")</f>
        <v/>
      </c>
      <c r="AB38" s="198"/>
      <c r="AC38" s="251">
        <f t="shared" si="9"/>
        <v>670453.92755243403</v>
      </c>
      <c r="AE38" s="198"/>
    </row>
    <row r="39" spans="1:31" x14ac:dyDescent="0.2">
      <c r="A39" s="176">
        <f t="shared" si="13"/>
        <v>24</v>
      </c>
      <c r="B39" s="56"/>
      <c r="C39" s="51">
        <v>0</v>
      </c>
      <c r="D39" s="252">
        <f t="shared" si="10"/>
        <v>0</v>
      </c>
      <c r="E39" s="56"/>
      <c r="F39" s="51">
        <v>0</v>
      </c>
      <c r="G39" s="241">
        <f t="shared" si="0"/>
        <v>0</v>
      </c>
      <c r="H39" s="242">
        <f>IF($A39&lt;=$N$4,H$15*'General Data'!$S31,"")</f>
        <v>612960</v>
      </c>
      <c r="I39" s="243">
        <f>IF(A39&lt;&gt;"",IF(I$15="",VLOOKUP(A39,'DOE Fuel Esc Rates'!$T$9:$W$38,3,TRUE),I$15),"")</f>
        <v>4.8825144949649069E-3</v>
      </c>
      <c r="J39" s="243">
        <f>((1+I39)*(1+'General Data'!$M$25))-1</f>
        <v>5.8873970094597272E-3</v>
      </c>
      <c r="K39" s="253">
        <f t="shared" si="11"/>
        <v>637346.78875907802</v>
      </c>
      <c r="L39" s="253">
        <f t="shared" si="1"/>
        <v>301535.70302666572</v>
      </c>
      <c r="M39" s="241">
        <f t="shared" si="2"/>
        <v>313532.38713824132</v>
      </c>
      <c r="N39" s="242">
        <f>IF($A39&lt;=$N$4,N$15*'General Data'!$S31,"")</f>
        <v>26180</v>
      </c>
      <c r="O39" s="243">
        <f>IF(A39&lt;&gt;"",IF(O$15="",VLOOKUP(A39,'DOE Fuel Esc Rates'!$T$9:$W$38,4,TRUE),O$15),"")</f>
        <v>2.6058631921824116E-2</v>
      </c>
      <c r="P39" s="243">
        <f>((1+O39)*(1+'General Data'!$M$25))-1</f>
        <v>2.7084690553745849E-2</v>
      </c>
      <c r="Q39" s="253">
        <f t="shared" si="12"/>
        <v>37147.297297297293</v>
      </c>
      <c r="R39" s="253">
        <f t="shared" si="3"/>
        <v>12878.825217368358</v>
      </c>
      <c r="S39" s="241">
        <f t="shared" si="4"/>
        <v>18274.008754374019</v>
      </c>
      <c r="T39" s="242">
        <f t="shared" si="5"/>
        <v>0</v>
      </c>
      <c r="U39" s="245">
        <f t="shared" si="6"/>
        <v>0</v>
      </c>
      <c r="V39" s="246">
        <f>IF($A39&lt;=$N$4,VLOOKUP(A39,'DOE Fuel Esc Rates'!$T$9:$W$38,2,TRUE),"")</f>
        <v>2038</v>
      </c>
      <c r="W39" s="247">
        <f t="shared" si="7"/>
        <v>674494.08605637529</v>
      </c>
      <c r="X39" s="241">
        <f t="shared" si="8"/>
        <v>331806.39589261531</v>
      </c>
      <c r="Y39" s="248">
        <f>IF(A39&lt;&gt;"",SUM(X$15:X39),"")</f>
        <v>11518621.229405342</v>
      </c>
      <c r="Z39" s="249">
        <f>IF(A39&lt;&gt;"",LCC0!Y39-Y39,"")</f>
        <v>458312.82767263427</v>
      </c>
      <c r="AA39" s="312" t="str">
        <f>IF(A39&lt;&gt;"",IF(Z39&gt;0,IF(SUM(AA$16:AA38)=0,A38+(-Z38)/(Z39-Z38),""),""),"")</f>
        <v/>
      </c>
      <c r="AB39" s="198"/>
      <c r="AC39" s="251">
        <f t="shared" si="9"/>
        <v>674494.08605637529</v>
      </c>
      <c r="AE39" s="198"/>
    </row>
    <row r="40" spans="1:31" x14ac:dyDescent="0.2">
      <c r="A40" s="176">
        <f t="shared" si="13"/>
        <v>25</v>
      </c>
      <c r="B40" s="56" t="s">
        <v>52</v>
      </c>
      <c r="C40" s="51">
        <v>0</v>
      </c>
      <c r="D40" s="252">
        <f t="shared" si="10"/>
        <v>0</v>
      </c>
      <c r="E40" s="56"/>
      <c r="F40" s="51">
        <v>0</v>
      </c>
      <c r="G40" s="241">
        <f t="shared" si="0"/>
        <v>0</v>
      </c>
      <c r="H40" s="242">
        <f>IF($A40&lt;=$N$4,H$15*'General Data'!$S32,"")</f>
        <v>612960</v>
      </c>
      <c r="I40" s="243">
        <f>IF(A40&lt;&gt;"",IF(I$15="",VLOOKUP(A40,'DOE Fuel Esc Rates'!$T$9:$W$38,3,TRUE),I$15),"")</f>
        <v>5.1624658366231646E-3</v>
      </c>
      <c r="J40" s="243">
        <f>((1+I40)*(1+'General Data'!$M$25))-1</f>
        <v>6.167628302459649E-3</v>
      </c>
      <c r="K40" s="253">
        <f t="shared" si="11"/>
        <v>640637.06978212821</v>
      </c>
      <c r="L40" s="253">
        <f t="shared" si="1"/>
        <v>292753.10973462689</v>
      </c>
      <c r="M40" s="241">
        <f t="shared" si="2"/>
        <v>305971.83240341494</v>
      </c>
      <c r="N40" s="242">
        <f>IF($A40&lt;=$N$4,N$15*'General Data'!$S32,"")</f>
        <v>26180</v>
      </c>
      <c r="O40" s="243">
        <f>IF(A40&lt;&gt;"",IF(O$15="",VLOOKUP(A40,'DOE Fuel Esc Rates'!$T$9:$W$38,4,TRUE),O$15),"")</f>
        <v>2.4603174603174738E-2</v>
      </c>
      <c r="P40" s="243">
        <f>((1+O40)*(1+'General Data'!$M$25))-1</f>
        <v>2.5627777777777805E-2</v>
      </c>
      <c r="Q40" s="253">
        <f t="shared" si="12"/>
        <v>38061.238738738743</v>
      </c>
      <c r="R40" s="253">
        <f t="shared" si="3"/>
        <v>12503.71380327025</v>
      </c>
      <c r="S40" s="241">
        <f t="shared" si="4"/>
        <v>18178.259594619249</v>
      </c>
      <c r="T40" s="242">
        <f t="shared" si="5"/>
        <v>0</v>
      </c>
      <c r="U40" s="245">
        <f t="shared" si="6"/>
        <v>0</v>
      </c>
      <c r="V40" s="246">
        <f>IF($A40&lt;=$N$4,VLOOKUP(A40,'DOE Fuel Esc Rates'!$T$9:$W$38,2,TRUE),"")</f>
        <v>2039</v>
      </c>
      <c r="W40" s="247">
        <f t="shared" si="7"/>
        <v>678698.30852086691</v>
      </c>
      <c r="X40" s="241">
        <f t="shared" si="8"/>
        <v>324150.09199803422</v>
      </c>
      <c r="Y40" s="248">
        <f>IF(A40&lt;&gt;"",SUM(X$15:X40),"")</f>
        <v>11842771.321403377</v>
      </c>
      <c r="Z40" s="249">
        <f>IF(A40&lt;&gt;"",LCC0!Y40-Y40,"")</f>
        <v>479354.7420414649</v>
      </c>
      <c r="AA40" s="312" t="str">
        <f>IF(A40&lt;&gt;"",IF(Z40&gt;0,IF(SUM(AA$16:AA39)=0,A39+(-Z39)/(Z40-Z39),""),""),"")</f>
        <v/>
      </c>
      <c r="AB40" s="198"/>
      <c r="AC40" s="251">
        <f t="shared" si="9"/>
        <v>678698.30852086691</v>
      </c>
      <c r="AE40" s="198"/>
    </row>
    <row r="41" spans="1:31" s="124" customFormat="1" ht="11.25" customHeight="1" thickBot="1" x14ac:dyDescent="0.25">
      <c r="A41" s="254"/>
      <c r="B41" s="255"/>
      <c r="C41" s="256"/>
      <c r="D41" s="257"/>
      <c r="E41" s="256"/>
      <c r="F41" s="256"/>
      <c r="G41" s="258"/>
      <c r="H41" s="259"/>
      <c r="I41" s="260"/>
      <c r="J41" s="260"/>
      <c r="K41" s="253"/>
      <c r="L41" s="253"/>
      <c r="M41" s="241"/>
      <c r="N41" s="261"/>
      <c r="O41" s="260"/>
      <c r="P41" s="260"/>
      <c r="Q41" s="260"/>
      <c r="R41" s="253"/>
      <c r="S41" s="241"/>
      <c r="T41" s="251"/>
      <c r="U41" s="258"/>
      <c r="V41" s="129"/>
      <c r="W41" s="129"/>
      <c r="X41" s="262"/>
      <c r="Y41" s="263"/>
      <c r="Z41" s="264"/>
      <c r="AA41" s="265"/>
    </row>
    <row r="42" spans="1:31" s="124" customFormat="1" ht="2.25" customHeight="1" x14ac:dyDescent="0.2">
      <c r="A42" s="266"/>
      <c r="B42" s="267"/>
      <c r="C42" s="267"/>
      <c r="D42" s="268"/>
      <c r="E42" s="267"/>
      <c r="F42" s="267"/>
      <c r="G42" s="269"/>
      <c r="H42" s="270"/>
      <c r="I42" s="271"/>
      <c r="J42" s="271"/>
      <c r="K42" s="271"/>
      <c r="L42" s="271"/>
      <c r="M42" s="272"/>
      <c r="N42" s="271"/>
      <c r="O42" s="271"/>
      <c r="P42" s="271"/>
      <c r="Q42" s="271"/>
      <c r="R42" s="271"/>
      <c r="S42" s="272"/>
      <c r="T42" s="273"/>
      <c r="U42" s="269"/>
      <c r="V42" s="273"/>
      <c r="W42" s="273"/>
      <c r="X42" s="269"/>
      <c r="Y42" s="274"/>
      <c r="Z42" s="273"/>
      <c r="AA42" s="275"/>
    </row>
    <row r="43" spans="1:31" s="289" customFormat="1" x14ac:dyDescent="0.2">
      <c r="A43" s="276"/>
      <c r="B43" s="277"/>
      <c r="C43" s="278">
        <f>SUM(C15:C40)</f>
        <v>332280</v>
      </c>
      <c r="D43" s="279">
        <f>+SUM(D15:D40)</f>
        <v>332280</v>
      </c>
      <c r="E43" s="278"/>
      <c r="F43" s="278">
        <f>SUM(F15:F40)</f>
        <v>0</v>
      </c>
      <c r="G43" s="280">
        <f>+SUM(G15:G40)</f>
        <v>0</v>
      </c>
      <c r="H43" s="281">
        <f>SUM(H16:H40)</f>
        <v>15324000</v>
      </c>
      <c r="I43" s="129"/>
      <c r="J43" s="129"/>
      <c r="K43" s="282">
        <f>SUM(K16:K40)</f>
        <v>15739156.046731925</v>
      </c>
      <c r="L43" s="282">
        <f>SUM(L16:L40)</f>
        <v>10673563.008845776</v>
      </c>
      <c r="M43" s="280">
        <f>+SUM(M16:M40)</f>
        <v>10962902.773762327</v>
      </c>
      <c r="N43" s="281">
        <f>SUM(N16:N40)</f>
        <v>654500</v>
      </c>
      <c r="O43" s="283"/>
      <c r="P43" s="129"/>
      <c r="Q43" s="282">
        <f>SUM(Q16:Q40)</f>
        <v>802529.03153153136</v>
      </c>
      <c r="R43" s="282">
        <f>SUM(R16:R40)</f>
        <v>455876.2065576585</v>
      </c>
      <c r="S43" s="280">
        <f>+SUM(S16:S40)</f>
        <v>547588.54764104972</v>
      </c>
      <c r="T43" s="281">
        <f>SUM(T16:T40)</f>
        <v>0</v>
      </c>
      <c r="U43" s="284">
        <f>+SUM(U16:U40)</f>
        <v>0</v>
      </c>
      <c r="V43" s="283"/>
      <c r="W43" s="285">
        <f>SUM(W15:W40)</f>
        <v>16873965.078263454</v>
      </c>
      <c r="X43" s="284">
        <f>+SUM(X15:X40)</f>
        <v>11842771.321403377</v>
      </c>
      <c r="Y43" s="286">
        <f>X43</f>
        <v>11842771.321403377</v>
      </c>
      <c r="Z43" s="287" t="s">
        <v>49</v>
      </c>
      <c r="AA43" s="313">
        <f>IF(SUM(AA16:AA40)&gt;0,SUM(AA16:AA40),"&gt;"&amp;T4)</f>
        <v>7.1671282987519911</v>
      </c>
      <c r="AC43" s="289">
        <f>+SUM(AC15:AC40)</f>
        <v>16541685.078263452</v>
      </c>
    </row>
    <row r="44" spans="1:31" s="124" customFormat="1" ht="5.25" customHeight="1" thickBot="1" x14ac:dyDescent="0.25">
      <c r="A44" s="290"/>
      <c r="B44" s="291"/>
      <c r="C44" s="291"/>
      <c r="D44" s="292"/>
      <c r="E44" s="291"/>
      <c r="F44" s="291"/>
      <c r="G44" s="293"/>
      <c r="H44" s="291"/>
      <c r="I44" s="294"/>
      <c r="J44" s="294"/>
      <c r="K44" s="294"/>
      <c r="L44" s="294"/>
      <c r="M44" s="293"/>
      <c r="N44" s="294"/>
      <c r="O44" s="294"/>
      <c r="P44" s="294"/>
      <c r="Q44" s="294"/>
      <c r="R44" s="294"/>
      <c r="S44" s="293"/>
      <c r="T44" s="294"/>
      <c r="U44" s="293"/>
      <c r="V44" s="294"/>
      <c r="W44" s="294"/>
      <c r="X44" s="293"/>
      <c r="Y44" s="295"/>
      <c r="Z44" s="294"/>
      <c r="AA44" s="293"/>
    </row>
    <row r="45" spans="1:31" s="124" customFormat="1" ht="6" customHeight="1" x14ac:dyDescent="0.2">
      <c r="A45" s="129"/>
      <c r="B45" s="296"/>
      <c r="C45" s="296"/>
      <c r="D45" s="296"/>
      <c r="E45" s="296"/>
      <c r="F45" s="74"/>
      <c r="G45" s="74"/>
      <c r="H45" s="296"/>
      <c r="I45" s="74"/>
      <c r="J45" s="74"/>
      <c r="K45" s="74"/>
      <c r="L45" s="74"/>
      <c r="M45" s="74"/>
      <c r="N45" s="74"/>
      <c r="O45" s="74"/>
      <c r="P45" s="74"/>
      <c r="Q45" s="74"/>
      <c r="R45" s="74"/>
      <c r="S45" s="74"/>
      <c r="T45" s="74"/>
      <c r="U45" s="74"/>
      <c r="V45" s="74"/>
      <c r="W45" s="74"/>
      <c r="X45" s="74"/>
      <c r="AA45" s="141"/>
    </row>
    <row r="46" spans="1:31" x14ac:dyDescent="0.2">
      <c r="B46" s="297" t="s">
        <v>53</v>
      </c>
      <c r="C46" s="298" t="s">
        <v>1</v>
      </c>
      <c r="I46" s="299"/>
      <c r="J46" s="299"/>
      <c r="M46" s="251"/>
      <c r="P46" s="299"/>
      <c r="S46" s="300"/>
      <c r="U46" s="301"/>
      <c r="X46" s="302"/>
    </row>
    <row r="47" spans="1:31" x14ac:dyDescent="0.2">
      <c r="C47" s="304" t="s">
        <v>201</v>
      </c>
      <c r="M47" s="251"/>
      <c r="X47" s="302"/>
    </row>
    <row r="48" spans="1:31" x14ac:dyDescent="0.2">
      <c r="L48" s="305"/>
      <c r="X48" s="302"/>
    </row>
    <row r="49" spans="8:24" x14ac:dyDescent="0.2">
      <c r="H49" s="306"/>
      <c r="L49" s="305"/>
      <c r="M49" s="251"/>
    </row>
    <row r="50" spans="8:24" x14ac:dyDescent="0.2">
      <c r="H50" s="255"/>
      <c r="M50" s="251"/>
      <c r="X50" s="307"/>
    </row>
    <row r="51" spans="8:24" x14ac:dyDescent="0.2">
      <c r="M51" s="308"/>
      <c r="X51" s="309"/>
    </row>
    <row r="52" spans="8:24" x14ac:dyDescent="0.2">
      <c r="H52" s="306"/>
      <c r="M52" s="308"/>
    </row>
    <row r="53" spans="8:24" x14ac:dyDescent="0.2">
      <c r="H53" s="306"/>
    </row>
    <row r="54" spans="8:24" x14ac:dyDescent="0.2">
      <c r="H54" s="310"/>
    </row>
    <row r="56" spans="8:24" x14ac:dyDescent="0.2">
      <c r="H56" s="311"/>
      <c r="M56" s="307"/>
    </row>
  </sheetData>
  <phoneticPr fontId="0" type="noConversion"/>
  <printOptions horizontalCentered="1"/>
  <pageMargins left="0.35" right="0.35" top="0.75" bottom="0.75" header="0.5" footer="0.5"/>
  <pageSetup paperSize="4" scale="70" orientation="landscape" horizontalDpi="4294967292"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AE56"/>
  <sheetViews>
    <sheetView zoomScale="80" workbookViewId="0">
      <pane xSplit="1" topLeftCell="B1" activePane="topRight" state="frozenSplit"/>
      <selection activeCell="B4" sqref="B4"/>
      <selection pane="topRight" activeCell="B4" sqref="B4"/>
    </sheetView>
  </sheetViews>
  <sheetFormatPr defaultRowHeight="12.75" x14ac:dyDescent="0.2"/>
  <cols>
    <col min="1" max="1" width="4.5703125" style="129" customWidth="1"/>
    <col min="2" max="3" width="12" style="296" customWidth="1"/>
    <col min="4" max="5" width="10.7109375" style="296" customWidth="1"/>
    <col min="6" max="7" width="11.140625" style="74" customWidth="1"/>
    <col min="8" max="8" width="12.5703125" style="296" customWidth="1"/>
    <col min="9" max="9" width="10.28515625" style="74" customWidth="1"/>
    <col min="10" max="10" width="10.28515625" style="74" hidden="1" customWidth="1"/>
    <col min="11" max="12" width="13.42578125" style="74" hidden="1" customWidth="1"/>
    <col min="13" max="13" width="14.7109375" style="74" customWidth="1"/>
    <col min="14" max="14" width="10.5703125" style="74" customWidth="1"/>
    <col min="15" max="15" width="11" style="74" customWidth="1"/>
    <col min="16" max="16" width="10.28515625" style="74" hidden="1" customWidth="1"/>
    <col min="17" max="17" width="11" style="74" hidden="1" customWidth="1"/>
    <col min="18" max="18" width="12.140625" style="74" hidden="1" customWidth="1"/>
    <col min="19" max="19" width="12" style="74" customWidth="1"/>
    <col min="20" max="20" width="11.28515625" style="74" customWidth="1"/>
    <col min="21" max="21" width="12.7109375" style="74" customWidth="1"/>
    <col min="22" max="22" width="6" style="74" customWidth="1"/>
    <col min="23" max="23" width="15.28515625" style="74" hidden="1" customWidth="1"/>
    <col min="24" max="24" width="16" style="74" customWidth="1"/>
    <col min="25" max="25" width="14.5703125" style="74" customWidth="1"/>
    <col min="26" max="26" width="14.42578125" style="74" customWidth="1"/>
    <col min="27" max="27" width="11.85546875" style="303" customWidth="1"/>
    <col min="28" max="28" width="9.140625" style="74"/>
    <col min="29" max="29" width="10" style="74" hidden="1" customWidth="1"/>
    <col min="30" max="16384" width="9.140625" style="74"/>
  </cols>
  <sheetData>
    <row r="1" spans="1:31" s="124" customFormat="1" ht="13.5" thickBot="1" x14ac:dyDescent="0.25">
      <c r="A1" s="139"/>
      <c r="B1" s="140"/>
      <c r="C1" s="140"/>
      <c r="D1" s="140"/>
      <c r="E1" s="140"/>
      <c r="H1" s="140"/>
      <c r="AA1" s="141"/>
    </row>
    <row r="2" spans="1:31" ht="5.25" customHeight="1" thickTop="1" x14ac:dyDescent="0.2">
      <c r="A2" s="142"/>
      <c r="B2" s="143"/>
      <c r="C2" s="143"/>
      <c r="D2" s="143"/>
      <c r="E2" s="143"/>
      <c r="F2" s="143"/>
      <c r="G2" s="143"/>
      <c r="H2" s="144"/>
      <c r="I2" s="144"/>
      <c r="J2" s="144"/>
      <c r="K2" s="144"/>
      <c r="L2" s="144"/>
      <c r="M2" s="144"/>
      <c r="N2" s="144"/>
      <c r="O2" s="144"/>
      <c r="P2" s="144"/>
      <c r="Q2" s="144"/>
      <c r="R2" s="144"/>
      <c r="S2" s="144"/>
      <c r="T2" s="144"/>
      <c r="U2" s="144"/>
      <c r="V2" s="144"/>
      <c r="W2" s="144"/>
      <c r="X2" s="145"/>
      <c r="Y2" s="146"/>
      <c r="Z2" s="144"/>
      <c r="AA2" s="145"/>
    </row>
    <row r="3" spans="1:31" ht="15.75" x14ac:dyDescent="0.25">
      <c r="A3" s="147"/>
      <c r="B3" s="69" t="s">
        <v>238</v>
      </c>
      <c r="C3" s="69"/>
      <c r="D3" s="148"/>
      <c r="E3" s="148"/>
      <c r="G3" s="149" t="s">
        <v>190</v>
      </c>
      <c r="H3" s="150" t="str">
        <f>'General Data'!A12&amp;"/"&amp;'General Data'!H12</f>
        <v>4/2015</v>
      </c>
      <c r="M3" s="151" t="s">
        <v>193</v>
      </c>
      <c r="N3" s="152">
        <f>N4-H4</f>
        <v>25</v>
      </c>
      <c r="R3" s="153"/>
      <c r="S3" s="149" t="s">
        <v>11</v>
      </c>
      <c r="T3" s="154">
        <f>'General Data'!H10</f>
        <v>2015</v>
      </c>
      <c r="V3" s="149" t="s">
        <v>12</v>
      </c>
      <c r="W3" s="149"/>
      <c r="X3" s="155" t="str">
        <f>IF('General Data'!$H$21=1,"Northeast",IF('General Data'!$H$21=2,"Midwest",IF('General Data'!$H$21=3,"South",IF('General Data'!$H$21=4,"West",IF('General Data'!$H$21=5,"United States Average","error")))))</f>
        <v>West</v>
      </c>
      <c r="Y3" s="156"/>
      <c r="Z3" s="157"/>
      <c r="AA3" s="155"/>
    </row>
    <row r="4" spans="1:31" ht="15.75" x14ac:dyDescent="0.25">
      <c r="A4" s="147"/>
      <c r="B4" s="69" t="s">
        <v>239</v>
      </c>
      <c r="C4" s="69"/>
      <c r="D4" s="148"/>
      <c r="E4" s="148"/>
      <c r="G4" s="158" t="s">
        <v>195</v>
      </c>
      <c r="H4" s="159">
        <f>'General Data'!H13-'General Data'!H12</f>
        <v>0</v>
      </c>
      <c r="M4" s="151" t="s">
        <v>194</v>
      </c>
      <c r="N4" s="160">
        <f>'General Data'!$H$18</f>
        <v>25</v>
      </c>
      <c r="R4" s="153"/>
      <c r="S4" s="151" t="s">
        <v>255</v>
      </c>
      <c r="T4" s="161">
        <f>'General Data'!H15</f>
        <v>0.03</v>
      </c>
      <c r="V4" s="149" t="s">
        <v>13</v>
      </c>
      <c r="W4" s="149"/>
      <c r="X4" s="155" t="str">
        <f>IF('General Data'!$H$24=1,"Residential",IF('General Data'!$H$24=2,"Commercial",IF('General Data'!$H$24=3,"Industrial","error")))</f>
        <v>Commercial</v>
      </c>
      <c r="Y4" s="156"/>
      <c r="Z4" s="157"/>
      <c r="AA4" s="155"/>
    </row>
    <row r="5" spans="1:31" ht="17.25" customHeight="1" thickBot="1" x14ac:dyDescent="0.25">
      <c r="A5" s="162"/>
      <c r="B5" s="163"/>
      <c r="C5" s="163"/>
      <c r="D5" s="163"/>
      <c r="E5" s="163"/>
      <c r="F5" s="163"/>
      <c r="G5" s="163"/>
      <c r="H5" s="163"/>
      <c r="I5" s="164"/>
      <c r="J5" s="164"/>
      <c r="K5" s="164"/>
      <c r="L5" s="164"/>
      <c r="M5" s="164"/>
      <c r="N5" s="164"/>
      <c r="O5" s="164"/>
      <c r="P5" s="164"/>
      <c r="Q5" s="164"/>
      <c r="R5" s="164"/>
      <c r="S5" s="350" t="s">
        <v>254</v>
      </c>
      <c r="T5" s="351">
        <f>'General Data'!H16</f>
        <v>0.03</v>
      </c>
      <c r="U5" s="164"/>
      <c r="V5" s="164"/>
      <c r="W5" s="164"/>
      <c r="X5" s="165"/>
      <c r="Y5" s="166"/>
      <c r="Z5" s="164"/>
      <c r="AA5" s="165"/>
    </row>
    <row r="6" spans="1:31" ht="5.25" customHeight="1" thickTop="1" x14ac:dyDescent="0.2">
      <c r="A6" s="167"/>
      <c r="B6" s="168"/>
      <c r="C6" s="168"/>
      <c r="D6" s="168"/>
      <c r="E6" s="168"/>
      <c r="F6" s="169"/>
      <c r="G6" s="170"/>
      <c r="H6" s="171"/>
      <c r="I6" s="172"/>
      <c r="J6" s="172"/>
      <c r="K6" s="172"/>
      <c r="L6" s="173"/>
      <c r="M6" s="174"/>
      <c r="N6" s="172"/>
      <c r="O6" s="172"/>
      <c r="P6" s="172"/>
      <c r="Q6" s="172"/>
      <c r="R6" s="173"/>
      <c r="S6" s="174"/>
      <c r="T6" s="172"/>
      <c r="U6" s="170"/>
      <c r="X6" s="174"/>
      <c r="Y6" s="175"/>
      <c r="Z6" s="124"/>
      <c r="AA6" s="174"/>
    </row>
    <row r="7" spans="1:31" x14ac:dyDescent="0.2">
      <c r="A7" s="176"/>
      <c r="B7" s="177" t="s">
        <v>14</v>
      </c>
      <c r="C7" s="177"/>
      <c r="D7" s="177"/>
      <c r="E7" s="177"/>
      <c r="F7" s="178"/>
      <c r="G7" s="179"/>
      <c r="H7" s="180" t="s">
        <v>15</v>
      </c>
      <c r="I7" s="181"/>
      <c r="J7" s="181"/>
      <c r="K7" s="181"/>
      <c r="L7" s="182"/>
      <c r="M7" s="183"/>
      <c r="N7" s="180" t="str">
        <f>IF('General Data'!$H$27=1,"NATURAL GAS COSTS",IF('General Data'!$H$27=2,"LPG FUEL COSTS",IF('General Data'!$H$27=3,"DISTILATE FUEL OIL COSTS",IF('General Data'!$H$27=4,"RESIDUAL FUEL OIL COSTS",IF('General Data'!$H$27=5,"COAL COSTS",IF('General Data'!$H$27=0,"NO 2ND FUEL USED","error?"))))))</f>
        <v>NATURAL GAS COSTS</v>
      </c>
      <c r="O7" s="181"/>
      <c r="P7" s="181"/>
      <c r="Q7" s="181"/>
      <c r="R7" s="182"/>
      <c r="S7" s="183"/>
      <c r="T7" s="180" t="s">
        <v>16</v>
      </c>
      <c r="U7" s="179"/>
      <c r="V7" s="180" t="s">
        <v>17</v>
      </c>
      <c r="W7" s="180"/>
      <c r="X7" s="183"/>
      <c r="Y7" s="184" t="s">
        <v>151</v>
      </c>
      <c r="Z7" s="177"/>
      <c r="AA7" s="185"/>
    </row>
    <row r="8" spans="1:31" x14ac:dyDescent="0.2">
      <c r="A8" s="176"/>
      <c r="B8" s="177"/>
      <c r="C8" s="177"/>
      <c r="D8" s="177"/>
      <c r="E8" s="177"/>
      <c r="F8" s="178"/>
      <c r="G8" s="179"/>
      <c r="H8" s="180" t="s">
        <v>18</v>
      </c>
      <c r="I8" s="181"/>
      <c r="J8" s="181"/>
      <c r="K8" s="181"/>
      <c r="L8" s="182"/>
      <c r="M8" s="183"/>
      <c r="N8" s="180" t="s">
        <v>18</v>
      </c>
      <c r="O8" s="181"/>
      <c r="P8" s="181"/>
      <c r="Q8" s="181"/>
      <c r="R8" s="182"/>
      <c r="S8" s="183"/>
      <c r="T8" s="180" t="s">
        <v>19</v>
      </c>
      <c r="U8" s="179"/>
      <c r="V8" s="180" t="s">
        <v>18</v>
      </c>
      <c r="W8" s="180"/>
      <c r="X8" s="186"/>
      <c r="Y8" s="187" t="s">
        <v>20</v>
      </c>
      <c r="Z8" s="188" t="s">
        <v>21</v>
      </c>
      <c r="AA8" s="189" t="s">
        <v>54</v>
      </c>
      <c r="AC8" s="190" t="s">
        <v>61</v>
      </c>
    </row>
    <row r="9" spans="1:31" ht="6" customHeight="1" x14ac:dyDescent="0.2">
      <c r="A9" s="176"/>
      <c r="B9" s="177"/>
      <c r="C9" s="177"/>
      <c r="D9" s="177"/>
      <c r="E9" s="177"/>
      <c r="F9" s="178"/>
      <c r="G9" s="179"/>
      <c r="H9" s="180"/>
      <c r="I9" s="181"/>
      <c r="J9" s="181"/>
      <c r="K9" s="181"/>
      <c r="L9" s="182"/>
      <c r="M9" s="183"/>
      <c r="N9" s="180"/>
      <c r="O9" s="181"/>
      <c r="P9" s="181"/>
      <c r="Q9" s="181"/>
      <c r="R9" s="182"/>
      <c r="S9" s="183"/>
      <c r="T9" s="180"/>
      <c r="U9" s="179"/>
      <c r="V9" s="180"/>
      <c r="W9" s="180"/>
      <c r="X9" s="183"/>
      <c r="Y9" s="191"/>
      <c r="Z9" s="192"/>
      <c r="AA9" s="183"/>
      <c r="AC9" s="190"/>
    </row>
    <row r="10" spans="1:31" s="198" customFormat="1" x14ac:dyDescent="0.2">
      <c r="A10" s="176"/>
      <c r="B10" s="153"/>
      <c r="C10" s="193" t="s">
        <v>22</v>
      </c>
      <c r="D10" s="193"/>
      <c r="E10" s="193"/>
      <c r="F10" s="188" t="s">
        <v>23</v>
      </c>
      <c r="G10" s="170"/>
      <c r="H10" s="194" t="s">
        <v>24</v>
      </c>
      <c r="I10" s="194" t="str">
        <f>'DOE Fuel Esc Rates'!H8</f>
        <v>Electric</v>
      </c>
      <c r="J10" s="194" t="str">
        <f>I10</f>
        <v>Electric</v>
      </c>
      <c r="K10" s="194" t="s">
        <v>25</v>
      </c>
      <c r="L10" s="173" t="s">
        <v>26</v>
      </c>
      <c r="M10" s="195" t="s">
        <v>26</v>
      </c>
      <c r="N10" s="194" t="s">
        <v>24</v>
      </c>
      <c r="O10" s="194" t="str">
        <f>'DOE Fuel Esc Rates'!$W$5</f>
        <v>Nat Gas</v>
      </c>
      <c r="P10" s="194" t="str">
        <f>O10</f>
        <v>Nat Gas</v>
      </c>
      <c r="Q10" s="194" t="s">
        <v>25</v>
      </c>
      <c r="R10" s="173" t="s">
        <v>26</v>
      </c>
      <c r="S10" s="195" t="s">
        <v>26</v>
      </c>
      <c r="T10" s="194" t="s">
        <v>24</v>
      </c>
      <c r="U10" s="195" t="s">
        <v>26</v>
      </c>
      <c r="V10" s="172"/>
      <c r="W10" s="194" t="s">
        <v>173</v>
      </c>
      <c r="X10" s="195" t="s">
        <v>26</v>
      </c>
      <c r="Y10" s="196" t="s">
        <v>26</v>
      </c>
      <c r="Z10" s="197" t="s">
        <v>26</v>
      </c>
      <c r="AA10" s="195"/>
      <c r="AB10" s="74"/>
      <c r="AC10" s="190" t="s">
        <v>173</v>
      </c>
    </row>
    <row r="11" spans="1:31" s="198" customFormat="1" x14ac:dyDescent="0.2">
      <c r="A11" s="176"/>
      <c r="B11" s="199"/>
      <c r="C11" s="200" t="s">
        <v>27</v>
      </c>
      <c r="D11" s="201"/>
      <c r="E11" s="201"/>
      <c r="F11" s="200" t="s">
        <v>28</v>
      </c>
      <c r="G11" s="179"/>
      <c r="H11" s="194" t="s">
        <v>29</v>
      </c>
      <c r="I11" s="194" t="s">
        <v>30</v>
      </c>
      <c r="J11" s="194" t="s">
        <v>200</v>
      </c>
      <c r="K11" s="173" t="s">
        <v>31</v>
      </c>
      <c r="L11" s="173" t="s">
        <v>31</v>
      </c>
      <c r="M11" s="195" t="s">
        <v>32</v>
      </c>
      <c r="N11" s="194" t="s">
        <v>29</v>
      </c>
      <c r="O11" s="194" t="s">
        <v>30</v>
      </c>
      <c r="P11" s="194" t="s">
        <v>200</v>
      </c>
      <c r="Q11" s="173" t="s">
        <v>31</v>
      </c>
      <c r="R11" s="173" t="s">
        <v>31</v>
      </c>
      <c r="S11" s="195" t="str">
        <f>O10</f>
        <v>Nat Gas</v>
      </c>
      <c r="T11" s="194" t="s">
        <v>29</v>
      </c>
      <c r="U11" s="202" t="s">
        <v>29</v>
      </c>
      <c r="V11" s="172"/>
      <c r="W11" s="203" t="s">
        <v>34</v>
      </c>
      <c r="X11" s="202" t="s">
        <v>34</v>
      </c>
      <c r="Y11" s="204" t="s">
        <v>152</v>
      </c>
      <c r="Z11" s="203" t="s">
        <v>152</v>
      </c>
      <c r="AA11" s="202" t="s">
        <v>26</v>
      </c>
      <c r="AC11" s="190" t="s">
        <v>182</v>
      </c>
    </row>
    <row r="12" spans="1:31" s="198" customFormat="1" x14ac:dyDescent="0.2">
      <c r="A12" s="176" t="s">
        <v>41</v>
      </c>
      <c r="B12" s="205" t="s">
        <v>35</v>
      </c>
      <c r="C12" s="206"/>
      <c r="D12" s="207" t="s">
        <v>26</v>
      </c>
      <c r="E12" s="205" t="s">
        <v>35</v>
      </c>
      <c r="F12" s="206"/>
      <c r="G12" s="208" t="s">
        <v>26</v>
      </c>
      <c r="H12" s="173" t="s">
        <v>32</v>
      </c>
      <c r="I12" s="194" t="s">
        <v>36</v>
      </c>
      <c r="J12" s="194" t="s">
        <v>36</v>
      </c>
      <c r="K12" s="173" t="s">
        <v>37</v>
      </c>
      <c r="L12" s="173" t="s">
        <v>38</v>
      </c>
      <c r="M12" s="209" t="s">
        <v>39</v>
      </c>
      <c r="N12" s="194" t="str">
        <f>O10</f>
        <v>Nat Gas</v>
      </c>
      <c r="O12" s="194" t="s">
        <v>36</v>
      </c>
      <c r="P12" s="194" t="s">
        <v>36</v>
      </c>
      <c r="Q12" s="173" t="s">
        <v>37</v>
      </c>
      <c r="R12" s="173" t="s">
        <v>38</v>
      </c>
      <c r="S12" s="209" t="s">
        <v>39</v>
      </c>
      <c r="T12" s="210" t="s">
        <v>40</v>
      </c>
      <c r="U12" s="179"/>
      <c r="V12" s="194" t="s">
        <v>41</v>
      </c>
      <c r="W12" s="203" t="s">
        <v>42</v>
      </c>
      <c r="X12" s="202" t="s">
        <v>42</v>
      </c>
      <c r="Y12" s="204" t="s">
        <v>42</v>
      </c>
      <c r="Z12" s="203" t="s">
        <v>43</v>
      </c>
      <c r="AA12" s="211" t="s">
        <v>54</v>
      </c>
      <c r="AC12" s="190" t="s">
        <v>42</v>
      </c>
    </row>
    <row r="13" spans="1:31" s="198" customFormat="1" x14ac:dyDescent="0.2">
      <c r="A13" s="176" t="s">
        <v>188</v>
      </c>
      <c r="B13" s="212" t="s">
        <v>44</v>
      </c>
      <c r="C13" s="213" t="s">
        <v>45</v>
      </c>
      <c r="D13" s="214" t="s">
        <v>46</v>
      </c>
      <c r="E13" s="212" t="s">
        <v>44</v>
      </c>
      <c r="F13" s="213" t="s">
        <v>45</v>
      </c>
      <c r="G13" s="211" t="s">
        <v>46</v>
      </c>
      <c r="H13" s="212" t="s">
        <v>45</v>
      </c>
      <c r="I13" s="215" t="s">
        <v>47</v>
      </c>
      <c r="J13" s="215" t="s">
        <v>47</v>
      </c>
      <c r="K13" s="216" t="s">
        <v>46</v>
      </c>
      <c r="L13" s="216" t="s">
        <v>46</v>
      </c>
      <c r="M13" s="211" t="s">
        <v>46</v>
      </c>
      <c r="N13" s="215" t="s">
        <v>45</v>
      </c>
      <c r="O13" s="215" t="s">
        <v>47</v>
      </c>
      <c r="P13" s="215" t="s">
        <v>47</v>
      </c>
      <c r="Q13" s="216" t="s">
        <v>46</v>
      </c>
      <c r="R13" s="216" t="s">
        <v>46</v>
      </c>
      <c r="S13" s="211" t="s">
        <v>46</v>
      </c>
      <c r="T13" s="215" t="s">
        <v>45</v>
      </c>
      <c r="U13" s="211" t="s">
        <v>46</v>
      </c>
      <c r="V13" s="194" t="s">
        <v>186</v>
      </c>
      <c r="W13" s="213" t="s">
        <v>174</v>
      </c>
      <c r="X13" s="211" t="s">
        <v>46</v>
      </c>
      <c r="Y13" s="217" t="s">
        <v>46</v>
      </c>
      <c r="Z13" s="218" t="s">
        <v>46</v>
      </c>
      <c r="AA13" s="219" t="s">
        <v>55</v>
      </c>
    </row>
    <row r="14" spans="1:31" ht="3.75" customHeight="1" x14ac:dyDescent="0.2">
      <c r="A14" s="220"/>
      <c r="B14" s="221"/>
      <c r="C14" s="222"/>
      <c r="D14" s="223"/>
      <c r="E14" s="221"/>
      <c r="F14" s="222"/>
      <c r="G14" s="224"/>
      <c r="H14" s="221"/>
      <c r="I14" s="129"/>
      <c r="J14" s="129"/>
      <c r="K14" s="129"/>
      <c r="L14" s="225"/>
      <c r="M14" s="174"/>
      <c r="N14" s="129"/>
      <c r="O14" s="129"/>
      <c r="P14" s="129"/>
      <c r="Q14" s="129"/>
      <c r="S14" s="174"/>
      <c r="U14" s="174"/>
      <c r="V14" s="129"/>
      <c r="W14" s="129"/>
      <c r="X14" s="174"/>
      <c r="Y14" s="175"/>
      <c r="Z14" s="124"/>
      <c r="AA14" s="174"/>
      <c r="AB14" s="198"/>
      <c r="AC14" s="198"/>
      <c r="AE14" s="198"/>
    </row>
    <row r="15" spans="1:31" x14ac:dyDescent="0.2">
      <c r="A15" s="226">
        <v>0</v>
      </c>
      <c r="B15" s="50" t="s">
        <v>48</v>
      </c>
      <c r="C15" s="50">
        <v>169650</v>
      </c>
      <c r="D15" s="227">
        <f>$C15/(1+disc)^$A15</f>
        <v>169650</v>
      </c>
      <c r="E15" s="228" t="s">
        <v>49</v>
      </c>
      <c r="F15" s="229" t="s">
        <v>49</v>
      </c>
      <c r="G15" s="230" t="s">
        <v>49</v>
      </c>
      <c r="H15" s="52">
        <v>621850</v>
      </c>
      <c r="I15" s="78" t="str">
        <f>IF('General Data'!$H$30="","",'General Data'!$H$30)</f>
        <v/>
      </c>
      <c r="J15" s="78"/>
      <c r="K15" s="231">
        <f>IF(A16=1,1,VLOOKUP(A16-1,'DOE Fuel Esc Rates'!T9:AB13,8,TRUE))</f>
        <v>1</v>
      </c>
      <c r="L15" s="232"/>
      <c r="M15" s="233"/>
      <c r="N15" s="53">
        <v>20210</v>
      </c>
      <c r="O15" s="78" t="str">
        <f>IF('General Data'!$H$31="","",'General Data'!$H$31)</f>
        <v/>
      </c>
      <c r="P15" s="78"/>
      <c r="Q15" s="234">
        <f>IF(A16=1,1,VLOOKUP(A16-1,'DOE Fuel Esc Rates'!T9:AB13,9,TRUE))</f>
        <v>1</v>
      </c>
      <c r="R15" s="232"/>
      <c r="S15" s="233"/>
      <c r="T15" s="53">
        <v>0</v>
      </c>
      <c r="U15" s="233"/>
      <c r="V15" s="235"/>
      <c r="W15" s="236">
        <f>+D15+M15+S15+U15</f>
        <v>169650</v>
      </c>
      <c r="X15" s="237">
        <f>+D15+M15+S15+U15</f>
        <v>169650</v>
      </c>
      <c r="Y15" s="238">
        <f>SUM(X$15:X15)</f>
        <v>169650</v>
      </c>
      <c r="Z15" s="236">
        <f>LCC0!Y15-Y15</f>
        <v>-115350</v>
      </c>
      <c r="AA15" s="237"/>
      <c r="AB15" s="198"/>
      <c r="AC15" s="198"/>
      <c r="AE15" s="198"/>
    </row>
    <row r="16" spans="1:31" x14ac:dyDescent="0.2">
      <c r="A16" s="239">
        <f>IF(ROW(A16)-ROW($A$15)+$H$4&lt;=$N$4,A15+1+$H$4,"")</f>
        <v>1</v>
      </c>
      <c r="B16" s="51"/>
      <c r="C16" s="51">
        <v>0</v>
      </c>
      <c r="D16" s="240">
        <f>IF($A16&lt;&gt;"",$C16/((1+$T$5)^$A16),"")</f>
        <v>0</v>
      </c>
      <c r="E16" s="51"/>
      <c r="F16" s="51">
        <v>0</v>
      </c>
      <c r="G16" s="241">
        <f t="shared" ref="G16:G40" si="0">IF($A16&lt;&gt;"",$F16/((1+disc)^$A16),"")</f>
        <v>0</v>
      </c>
      <c r="H16" s="242">
        <f>IF($A16&lt;=$N$4,H$15*'General Data'!$S8,"")</f>
        <v>621850</v>
      </c>
      <c r="I16" s="243">
        <f>IF(A16&lt;&gt;"",IF(I$15="",VLOOKUP(A16,'DOE Fuel Esc Rates'!$T$9:$W$38,3,TRUE),I$15),"")</f>
        <v>2.7786548784338283E-2</v>
      </c>
      <c r="J16" s="243">
        <f>((1+I16)*(1+'General Data'!$M$25))-1</f>
        <v>2.8814335333122498E-2</v>
      </c>
      <c r="K16" s="244">
        <f>IF(H16&lt;&gt;"",H16*(1+I16)*K15,"")</f>
        <v>639129.06536154076</v>
      </c>
      <c r="L16" s="244">
        <f t="shared" ref="L16:L40" si="1">IF(H16&lt;&gt;"",H16/(1+disc)^$A16,"")</f>
        <v>603737.86407766992</v>
      </c>
      <c r="M16" s="241">
        <f t="shared" ref="M16:M40" si="2">IF(H16&lt;&gt;"",K16/(1+disc)^$A16,"")</f>
        <v>620513.65569081623</v>
      </c>
      <c r="N16" s="242">
        <f>IF($A16&lt;=$N$4,N$15*'General Data'!$S8,"")</f>
        <v>20210</v>
      </c>
      <c r="O16" s="243">
        <f>IF(A16&lt;&gt;"",IF(O$15="",VLOOKUP(A16,'DOE Fuel Esc Rates'!$T$9:$W$38,4,TRUE),O$15),"")</f>
        <v>1.2387387387387427E-2</v>
      </c>
      <c r="P16" s="243">
        <f>((1+O16)*(1+'General Data'!$M$25))-1</f>
        <v>1.339977477477472E-2</v>
      </c>
      <c r="Q16" s="244">
        <f>IF(N16&lt;&gt;"",N16*(1+O16)*Q15,"")</f>
        <v>20460.349099099101</v>
      </c>
      <c r="R16" s="244">
        <f t="shared" ref="R16:R40" si="3">IF(N16&lt;&gt;"",N16/(1+disc)^$A16,"")</f>
        <v>19621.359223300969</v>
      </c>
      <c r="S16" s="241">
        <f t="shared" ref="S16:S40" si="4">IF(N16&lt;&gt;"",Q16/((1+disc)^$A16),"")</f>
        <v>19864.416601067089</v>
      </c>
      <c r="T16" s="242">
        <f t="shared" ref="T16:T40" si="5">IF($A16&lt;=$N$4,T$15,"")</f>
        <v>0</v>
      </c>
      <c r="U16" s="245">
        <f t="shared" ref="U16:U40" si="6">IF(T16&lt;&gt;"",T16/(1+disc)^A16,"")</f>
        <v>0</v>
      </c>
      <c r="V16" s="246">
        <f>IF($A16&lt;=$N$4,VLOOKUP(A16,'DOE Fuel Esc Rates'!$T$9:$W$38,2,TRUE),"")</f>
        <v>2015</v>
      </c>
      <c r="W16" s="247">
        <f t="shared" ref="W16:W40" si="7">IF(A16&lt;&gt;"",SUM(C16,F16,K16,Q16,T16),"")</f>
        <v>659589.41446063982</v>
      </c>
      <c r="X16" s="241">
        <f t="shared" ref="X16:X40" si="8">IF(A16&lt;&gt;"",SUM(D16,G16,M16,S16,U16),"")</f>
        <v>640378.07229188329</v>
      </c>
      <c r="Y16" s="248">
        <f>IF(A16&lt;&gt;"",SUM(X$15:X16),"")</f>
        <v>810028.07229188329</v>
      </c>
      <c r="Z16" s="249">
        <f>IF(A16&lt;&gt;"",LCC0!Y16-Y16,"")</f>
        <v>-75941.432989652501</v>
      </c>
      <c r="AA16" s="312" t="str">
        <f>IF(A16&lt;&gt;"",IF(Z16&gt;0,A15+(-Z15)/(Z16-Z15),""),"")</f>
        <v/>
      </c>
      <c r="AB16" s="198"/>
      <c r="AC16" s="251">
        <f t="shared" ref="AC16:AC40" si="9">SUM(K16,Q16)</f>
        <v>659589.41446063982</v>
      </c>
      <c r="AE16" s="198"/>
    </row>
    <row r="17" spans="1:31" x14ac:dyDescent="0.2">
      <c r="A17" s="176">
        <f>IF(ROW(A17)-ROW($A$15)+$H$4&lt;=$N$4,A16+1,"")</f>
        <v>2</v>
      </c>
      <c r="B17" s="56"/>
      <c r="C17" s="51">
        <v>0</v>
      </c>
      <c r="D17" s="252">
        <f t="shared" ref="D17:D40" si="10">IF($A17&lt;&gt;"",$C17/((1+$T$5)^$A17),"")</f>
        <v>0</v>
      </c>
      <c r="E17" s="56"/>
      <c r="F17" s="51">
        <v>0</v>
      </c>
      <c r="G17" s="241">
        <f t="shared" si="0"/>
        <v>0</v>
      </c>
      <c r="H17" s="242">
        <f>IF($A17&lt;=$N$4,H$15*'General Data'!$S9,"")</f>
        <v>621850</v>
      </c>
      <c r="I17" s="243">
        <f>IF(A17&lt;&gt;"",IF(I$15="",VLOOKUP(A17,'DOE Fuel Esc Rates'!$T$9:$W$38,3,TRUE),I$15),"")</f>
        <v>1.3824884792626779E-2</v>
      </c>
      <c r="J17" s="243">
        <f>((1+I17)*(1+'General Data'!$M$25))-1</f>
        <v>1.4838709677419404E-2</v>
      </c>
      <c r="K17" s="253">
        <f t="shared" ref="K17:K40" si="11">IF(H17&lt;&gt;"",K16*(1+I17),"")</f>
        <v>647964.95105778333</v>
      </c>
      <c r="L17" s="253">
        <f t="shared" si="1"/>
        <v>586153.26609482523</v>
      </c>
      <c r="M17" s="241">
        <f t="shared" si="2"/>
        <v>610769.11212911992</v>
      </c>
      <c r="N17" s="242">
        <f>IF($A17&lt;=$N$4,N$15*'General Data'!$S9,"")</f>
        <v>20210</v>
      </c>
      <c r="O17" s="243">
        <f>IF(A17&lt;&gt;"",IF(O$15="",VLOOKUP(A17,'DOE Fuel Esc Rates'!$T$9:$W$38,4,TRUE),O$15),"")</f>
        <v>1.1123470522802492E-3</v>
      </c>
      <c r="P17" s="243">
        <f>((1+O17)*(1+'General Data'!$M$25))-1</f>
        <v>2.1134593993323847E-3</v>
      </c>
      <c r="Q17" s="253">
        <f t="shared" ref="Q17:Q40" si="12">IF(N17&lt;&gt;"",Q16*(1+O17),"")</f>
        <v>20483.10810810811</v>
      </c>
      <c r="R17" s="253">
        <f t="shared" si="3"/>
        <v>19049.863323593177</v>
      </c>
      <c r="S17" s="241">
        <f t="shared" si="4"/>
        <v>19307.293909047141</v>
      </c>
      <c r="T17" s="242">
        <f t="shared" si="5"/>
        <v>0</v>
      </c>
      <c r="U17" s="245">
        <f t="shared" si="6"/>
        <v>0</v>
      </c>
      <c r="V17" s="246">
        <f>IF($A17&lt;=$N$4,VLOOKUP(A17,'DOE Fuel Esc Rates'!$T$9:$W$38,2,TRUE),"")</f>
        <v>2016</v>
      </c>
      <c r="W17" s="247">
        <f t="shared" si="7"/>
        <v>668448.05916589149</v>
      </c>
      <c r="X17" s="241">
        <f t="shared" si="8"/>
        <v>630076.40603816707</v>
      </c>
      <c r="Y17" s="248">
        <f>IF(A17&lt;&gt;"",SUM(X$15:X17),"")</f>
        <v>1440104.4783300504</v>
      </c>
      <c r="Z17" s="249">
        <f>IF(A17&lt;&gt;"",LCC0!Y17-Y17,"")</f>
        <v>-37213.728474037955</v>
      </c>
      <c r="AA17" s="312" t="str">
        <f>IF(A17&lt;&gt;"",IF(Z17&gt;0,IF(SUM(AA$16:AA16)=0,A16+(-Z16)/(Z17-Z16),""),""),"")</f>
        <v/>
      </c>
      <c r="AB17" s="198"/>
      <c r="AC17" s="251">
        <f t="shared" si="9"/>
        <v>668448.05916589149</v>
      </c>
      <c r="AE17" s="198"/>
    </row>
    <row r="18" spans="1:31" x14ac:dyDescent="0.2">
      <c r="A18" s="176">
        <f t="shared" ref="A18:A40" si="13">IF(ROW(A18)-ROW($A$15)+$H$4&lt;=$N$4,A17+1,"")</f>
        <v>3</v>
      </c>
      <c r="B18" s="56"/>
      <c r="C18" s="51">
        <v>0</v>
      </c>
      <c r="D18" s="252">
        <f t="shared" si="10"/>
        <v>0</v>
      </c>
      <c r="E18" s="56"/>
      <c r="F18" s="51">
        <v>0</v>
      </c>
      <c r="G18" s="241">
        <f t="shared" si="0"/>
        <v>0</v>
      </c>
      <c r="H18" s="242">
        <f>IF($A18&lt;=$N$4,H$15*'General Data'!$S10,"")</f>
        <v>621850</v>
      </c>
      <c r="I18" s="243">
        <f>IF(A18&lt;&gt;"",IF(I$15="",VLOOKUP(A18,'DOE Fuel Esc Rates'!$T$9:$W$38,3,TRUE),I$15),"")</f>
        <v>-1.0606060606060619E-2</v>
      </c>
      <c r="J18" s="243">
        <f>((1+I18)*(1+'General Data'!$M$25))-1</f>
        <v>-9.6166666666668288E-3</v>
      </c>
      <c r="K18" s="253">
        <f t="shared" si="11"/>
        <v>641092.59551626141</v>
      </c>
      <c r="L18" s="253">
        <f t="shared" si="1"/>
        <v>569080.84086876223</v>
      </c>
      <c r="M18" s="241">
        <f t="shared" si="2"/>
        <v>586690.54165977542</v>
      </c>
      <c r="N18" s="242">
        <f>IF($A18&lt;=$N$4,N$15*'General Data'!$S10,"")</f>
        <v>20210</v>
      </c>
      <c r="O18" s="243">
        <f>IF(A18&lt;&gt;"",IF(O$15="",VLOOKUP(A18,'DOE Fuel Esc Rates'!$T$9:$W$38,4,TRUE),O$15),"")</f>
        <v>-1.1111111111110628E-3</v>
      </c>
      <c r="P18" s="243">
        <f>((1+O18)*(1+'General Data'!$M$25))-1</f>
        <v>-1.1222222222229128E-4</v>
      </c>
      <c r="Q18" s="253">
        <f t="shared" si="12"/>
        <v>20460.349099099101</v>
      </c>
      <c r="R18" s="253">
        <f t="shared" si="3"/>
        <v>18495.012935527357</v>
      </c>
      <c r="S18" s="241">
        <f t="shared" si="4"/>
        <v>18724.117825494475</v>
      </c>
      <c r="T18" s="242">
        <f t="shared" si="5"/>
        <v>0</v>
      </c>
      <c r="U18" s="245">
        <f t="shared" si="6"/>
        <v>0</v>
      </c>
      <c r="V18" s="246">
        <f>IF($A18&lt;=$N$4,VLOOKUP(A18,'DOE Fuel Esc Rates'!$T$9:$W$38,2,TRUE),"")</f>
        <v>2017</v>
      </c>
      <c r="W18" s="247">
        <f t="shared" si="7"/>
        <v>661552.94461536047</v>
      </c>
      <c r="X18" s="241">
        <f t="shared" si="8"/>
        <v>605414.65948526992</v>
      </c>
      <c r="Y18" s="248">
        <f>IF(A18&lt;&gt;"",SUM(X$15:X18),"")</f>
        <v>2045519.1378153204</v>
      </c>
      <c r="Z18" s="249">
        <f>IF(A18&lt;&gt;"",LCC0!Y18-Y18,"")</f>
        <v>32.201771711697802</v>
      </c>
      <c r="AA18" s="312">
        <f>IF(A18&lt;&gt;"",IF(Z18&gt;0,IF(SUM(AA$16:AA17)=0,A17+(-Z17)/(Z18-Z17),""),""),"")</f>
        <v>2.9991354284481759</v>
      </c>
      <c r="AB18" s="198"/>
      <c r="AC18" s="251">
        <f t="shared" si="9"/>
        <v>661552.94461536047</v>
      </c>
      <c r="AE18" s="198"/>
    </row>
    <row r="19" spans="1:31" x14ac:dyDescent="0.2">
      <c r="A19" s="176">
        <f t="shared" si="13"/>
        <v>4</v>
      </c>
      <c r="B19" s="56"/>
      <c r="C19" s="51">
        <v>0</v>
      </c>
      <c r="D19" s="252">
        <f t="shared" si="10"/>
        <v>0</v>
      </c>
      <c r="E19" s="56"/>
      <c r="F19" s="51">
        <v>0</v>
      </c>
      <c r="G19" s="241">
        <f t="shared" si="0"/>
        <v>0</v>
      </c>
      <c r="H19" s="242">
        <f>IF($A19&lt;=$N$4,H$15*'General Data'!$S11,"")</f>
        <v>621850</v>
      </c>
      <c r="I19" s="243">
        <f>IF(A19&lt;&gt;"",IF(I$15="",VLOOKUP(A19,'DOE Fuel Esc Rates'!$T$9:$W$38,3,TRUE),I$15),"")</f>
        <v>-7.9632465543644226E-3</v>
      </c>
      <c r="J19" s="243">
        <f>((1+I19)*(1+'General Data'!$M$25))-1</f>
        <v>-6.9712098009189205E-3</v>
      </c>
      <c r="K19" s="253">
        <f t="shared" si="11"/>
        <v>635987.41711398796</v>
      </c>
      <c r="L19" s="253">
        <f t="shared" si="1"/>
        <v>552505.67074637115</v>
      </c>
      <c r="M19" s="241">
        <f t="shared" si="2"/>
        <v>565066.58274313109</v>
      </c>
      <c r="N19" s="242">
        <f>IF($A19&lt;=$N$4,N$15*'General Data'!$S11,"")</f>
        <v>20210</v>
      </c>
      <c r="O19" s="243">
        <f>IF(A19&lt;&gt;"",IF(O$15="",VLOOKUP(A19,'DOE Fuel Esc Rates'!$T$9:$W$38,4,TRUE),O$15),"")</f>
        <v>3.6707452725250223E-2</v>
      </c>
      <c r="P19" s="243">
        <f>((1+O19)*(1+'General Data'!$M$25))-1</f>
        <v>3.7744160177975328E-2</v>
      </c>
      <c r="Q19" s="253">
        <f t="shared" si="12"/>
        <v>21211.396396396398</v>
      </c>
      <c r="R19" s="253">
        <f t="shared" si="3"/>
        <v>17956.323238376073</v>
      </c>
      <c r="S19" s="241">
        <f t="shared" si="4"/>
        <v>18846.05096640372</v>
      </c>
      <c r="T19" s="242">
        <f t="shared" si="5"/>
        <v>0</v>
      </c>
      <c r="U19" s="245">
        <f t="shared" si="6"/>
        <v>0</v>
      </c>
      <c r="V19" s="246">
        <f>IF($A19&lt;=$N$4,VLOOKUP(A19,'DOE Fuel Esc Rates'!$T$9:$W$38,2,TRUE),"")</f>
        <v>2018</v>
      </c>
      <c r="W19" s="247">
        <f t="shared" si="7"/>
        <v>657198.81351038441</v>
      </c>
      <c r="X19" s="241">
        <f t="shared" si="8"/>
        <v>583912.63370953477</v>
      </c>
      <c r="Y19" s="248">
        <f>IF(A19&lt;&gt;"",SUM(X$15:X19),"")</f>
        <v>2629431.7715248549</v>
      </c>
      <c r="Z19" s="249">
        <f>IF(A19&lt;&gt;"",LCC0!Y19-Y19,"")</f>
        <v>36110.664197006729</v>
      </c>
      <c r="AA19" s="312" t="str">
        <f>IF(A19&lt;&gt;"",IF(Z19&gt;0,IF(SUM(AA$16:AA18)=0,A18+(-Z18)/(Z19-Z18),""),""),"")</f>
        <v/>
      </c>
      <c r="AB19" s="198"/>
      <c r="AC19" s="251">
        <f t="shared" si="9"/>
        <v>657198.81351038441</v>
      </c>
      <c r="AE19" s="198"/>
    </row>
    <row r="20" spans="1:31" x14ac:dyDescent="0.2">
      <c r="A20" s="176">
        <f t="shared" si="13"/>
        <v>5</v>
      </c>
      <c r="B20" s="56"/>
      <c r="C20" s="51">
        <v>0</v>
      </c>
      <c r="D20" s="252">
        <f t="shared" si="10"/>
        <v>0</v>
      </c>
      <c r="E20" s="56"/>
      <c r="F20" s="51">
        <v>0</v>
      </c>
      <c r="G20" s="241">
        <f t="shared" si="0"/>
        <v>0</v>
      </c>
      <c r="H20" s="242">
        <f>IF($A20&lt;=$N$4,H$15*'General Data'!$S12,"")</f>
        <v>621850</v>
      </c>
      <c r="I20" s="243">
        <f>IF(A20&lt;&gt;"",IF(I$15="",VLOOKUP(A20,'DOE Fuel Esc Rates'!$T$9:$W$38,3,TRUE),I$15),"")</f>
        <v>6.1747452917559897E-4</v>
      </c>
      <c r="J20" s="243">
        <f>((1+I20)*(1+'General Data'!$M$25))-1</f>
        <v>1.6180920037047741E-3</v>
      </c>
      <c r="K20" s="253">
        <f t="shared" si="11"/>
        <v>636380.12314493197</v>
      </c>
      <c r="L20" s="253">
        <f t="shared" si="1"/>
        <v>536413.27256929246</v>
      </c>
      <c r="M20" s="241">
        <f t="shared" si="2"/>
        <v>548947.08443229448</v>
      </c>
      <c r="N20" s="242">
        <f>IF($A20&lt;=$N$4,N$15*'General Data'!$S12,"")</f>
        <v>20210</v>
      </c>
      <c r="O20" s="243">
        <f>IF(A20&lt;&gt;"",IF(O$15="",VLOOKUP(A20,'DOE Fuel Esc Rates'!$T$9:$W$38,4,TRUE),O$15),"")</f>
        <v>4.7210300429184393E-2</v>
      </c>
      <c r="P20" s="243">
        <f>((1+O20)*(1+'General Data'!$M$25))-1</f>
        <v>4.8257510729613484E-2</v>
      </c>
      <c r="Q20" s="253">
        <f t="shared" si="12"/>
        <v>22212.792792792792</v>
      </c>
      <c r="R20" s="253">
        <f t="shared" si="3"/>
        <v>17433.323532403956</v>
      </c>
      <c r="S20" s="241">
        <f t="shared" si="4"/>
        <v>19160.950188768311</v>
      </c>
      <c r="T20" s="242">
        <f t="shared" si="5"/>
        <v>0</v>
      </c>
      <c r="U20" s="245">
        <f t="shared" si="6"/>
        <v>0</v>
      </c>
      <c r="V20" s="246">
        <f>IF($A20&lt;=$N$4,VLOOKUP(A20,'DOE Fuel Esc Rates'!$T$9:$W$38,2,TRUE),"")</f>
        <v>2019</v>
      </c>
      <c r="W20" s="247">
        <f t="shared" si="7"/>
        <v>658592.91593772476</v>
      </c>
      <c r="X20" s="241">
        <f t="shared" si="8"/>
        <v>568108.0346210628</v>
      </c>
      <c r="Y20" s="248">
        <f>IF(A20&lt;&gt;"",SUM(X$15:X20),"")</f>
        <v>3197539.8061459176</v>
      </c>
      <c r="Z20" s="249">
        <f>IF(A20&lt;&gt;"",LCC0!Y20-Y20,"")</f>
        <v>71375.480632761959</v>
      </c>
      <c r="AA20" s="312" t="str">
        <f>IF(A20&lt;&gt;"",IF(Z20&gt;0,IF(SUM(AA$16:AA19)=0,A19+(-Z19)/(Z20-Z19),""),""),"")</f>
        <v/>
      </c>
      <c r="AB20" s="198"/>
      <c r="AC20" s="251">
        <f t="shared" si="9"/>
        <v>658592.91593772476</v>
      </c>
      <c r="AE20" s="198"/>
    </row>
    <row r="21" spans="1:31" x14ac:dyDescent="0.2">
      <c r="A21" s="176">
        <f t="shared" si="13"/>
        <v>6</v>
      </c>
      <c r="B21" s="56"/>
      <c r="C21" s="51">
        <v>0</v>
      </c>
      <c r="D21" s="252">
        <f t="shared" si="10"/>
        <v>0</v>
      </c>
      <c r="E21" s="56"/>
      <c r="F21" s="51">
        <v>0</v>
      </c>
      <c r="G21" s="241">
        <f t="shared" si="0"/>
        <v>0</v>
      </c>
      <c r="H21" s="242">
        <f>IF($A21&lt;=$N$4,H$15*'General Data'!$S13,"")</f>
        <v>621850</v>
      </c>
      <c r="I21" s="243">
        <f>IF(A21&lt;&gt;"",IF(I$15="",VLOOKUP(A21,'DOE Fuel Esc Rates'!$T$9:$W$38,3,TRUE),I$15),"")</f>
        <v>3.7025609379821578E-3</v>
      </c>
      <c r="J21" s="243">
        <f>((1+I21)*(1+'General Data'!$M$25))-1</f>
        <v>4.7062634989201158E-3</v>
      </c>
      <c r="K21" s="253">
        <f t="shared" si="11"/>
        <v>638736.35933059664</v>
      </c>
      <c r="L21" s="253">
        <f t="shared" si="1"/>
        <v>520789.58501873049</v>
      </c>
      <c r="M21" s="241">
        <f t="shared" si="2"/>
        <v>534931.64511080831</v>
      </c>
      <c r="N21" s="242">
        <f>IF($A21&lt;=$N$4,N$15*'General Data'!$S13,"")</f>
        <v>20210</v>
      </c>
      <c r="O21" s="243">
        <f>IF(A21&lt;&gt;"",IF(O$15="",VLOOKUP(A21,'DOE Fuel Esc Rates'!$T$9:$W$38,4,TRUE),O$15),"")</f>
        <v>3.5860655737704805E-2</v>
      </c>
      <c r="P21" s="243">
        <f>((1+O21)*(1+'General Data'!$M$25))-1</f>
        <v>3.6896516393442491E-2</v>
      </c>
      <c r="Q21" s="253">
        <f t="shared" si="12"/>
        <v>23009.358108108107</v>
      </c>
      <c r="R21" s="253">
        <f t="shared" si="3"/>
        <v>16925.556827576656</v>
      </c>
      <c r="S21" s="241">
        <f t="shared" si="4"/>
        <v>19269.975171936934</v>
      </c>
      <c r="T21" s="242">
        <f t="shared" si="5"/>
        <v>0</v>
      </c>
      <c r="U21" s="245">
        <f t="shared" si="6"/>
        <v>0</v>
      </c>
      <c r="V21" s="246">
        <f>IF($A21&lt;=$N$4,VLOOKUP(A21,'DOE Fuel Esc Rates'!$T$9:$W$38,2,TRUE),"")</f>
        <v>2020</v>
      </c>
      <c r="W21" s="247">
        <f t="shared" si="7"/>
        <v>661745.7174387048</v>
      </c>
      <c r="X21" s="241">
        <f t="shared" si="8"/>
        <v>554201.62028274522</v>
      </c>
      <c r="Y21" s="248">
        <f>IF(A21&lt;&gt;"",SUM(X$15:X21),"")</f>
        <v>3751741.4264286626</v>
      </c>
      <c r="Z21" s="249">
        <f>IF(A21&lt;&gt;"",LCC0!Y21-Y21,"")</f>
        <v>105891.19382653851</v>
      </c>
      <c r="AA21" s="312" t="str">
        <f>IF(A21&lt;&gt;"",IF(Z21&gt;0,IF(SUM(AA$16:AA20)=0,A20+(-Z20)/(Z21-Z20),""),""),"")</f>
        <v/>
      </c>
      <c r="AB21" s="198"/>
      <c r="AC21" s="251">
        <f t="shared" si="9"/>
        <v>661745.7174387048</v>
      </c>
      <c r="AE21" s="198"/>
    </row>
    <row r="22" spans="1:31" x14ac:dyDescent="0.2">
      <c r="A22" s="176">
        <f t="shared" si="13"/>
        <v>7</v>
      </c>
      <c r="B22" s="56"/>
      <c r="C22" s="51">
        <v>0</v>
      </c>
      <c r="D22" s="252">
        <f t="shared" si="10"/>
        <v>0</v>
      </c>
      <c r="E22" s="56"/>
      <c r="F22" s="51">
        <v>0</v>
      </c>
      <c r="G22" s="241">
        <f t="shared" si="0"/>
        <v>0</v>
      </c>
      <c r="H22" s="242">
        <f>IF($A22&lt;=$N$4,H$15*'General Data'!$S14,"")</f>
        <v>621850</v>
      </c>
      <c r="I22" s="243">
        <f>IF(A22&lt;&gt;"",IF(I$15="",VLOOKUP(A22,'DOE Fuel Esc Rates'!$T$9:$W$38,3,TRUE),I$15),"")</f>
        <v>1.8444512757456177E-3</v>
      </c>
      <c r="J22" s="243">
        <f>((1+I22)*(1+'General Data'!$M$25))-1</f>
        <v>2.8462957270212197E-3</v>
      </c>
      <c r="K22" s="253">
        <f t="shared" si="11"/>
        <v>639914.47742342902</v>
      </c>
      <c r="L22" s="253">
        <f t="shared" si="1"/>
        <v>505620.95632886456</v>
      </c>
      <c r="M22" s="241">
        <f t="shared" si="2"/>
        <v>520309.02957870835</v>
      </c>
      <c r="N22" s="242">
        <f>IF($A22&lt;=$N$4,N$15*'General Data'!$S14,"")</f>
        <v>20210</v>
      </c>
      <c r="O22" s="243">
        <f>IF(A22&lt;&gt;"",IF(O$15="",VLOOKUP(A22,'DOE Fuel Esc Rates'!$T$9:$W$38,4,TRUE),O$15),"")</f>
        <v>2.0771513353115889E-2</v>
      </c>
      <c r="P22" s="243">
        <f>((1+O22)*(1+'General Data'!$M$25))-1</f>
        <v>2.1792284866468892E-2</v>
      </c>
      <c r="Q22" s="253">
        <f t="shared" si="12"/>
        <v>23487.2972972973</v>
      </c>
      <c r="R22" s="253">
        <f t="shared" si="3"/>
        <v>16432.579444249179</v>
      </c>
      <c r="S22" s="241">
        <f t="shared" si="4"/>
        <v>19097.322056830129</v>
      </c>
      <c r="T22" s="242">
        <f t="shared" si="5"/>
        <v>0</v>
      </c>
      <c r="U22" s="245">
        <f t="shared" si="6"/>
        <v>0</v>
      </c>
      <c r="V22" s="246">
        <f>IF($A22&lt;=$N$4,VLOOKUP(A22,'DOE Fuel Esc Rates'!$T$9:$W$38,2,TRUE),"")</f>
        <v>2021</v>
      </c>
      <c r="W22" s="247">
        <f t="shared" si="7"/>
        <v>663401.7747207263</v>
      </c>
      <c r="X22" s="241">
        <f t="shared" si="8"/>
        <v>539406.35163553851</v>
      </c>
      <c r="Y22" s="248">
        <f>IF(A22&lt;&gt;"",SUM(X$15:X22),"")</f>
        <v>4291147.7780642007</v>
      </c>
      <c r="Z22" s="249">
        <f>IF(A22&lt;&gt;"",LCC0!Y22-Y22,"")</f>
        <v>139552.93599637598</v>
      </c>
      <c r="AA22" s="312" t="str">
        <f>IF(A22&lt;&gt;"",IF(Z22&gt;0,IF(SUM(AA$16:AA21)=0,A21+(-Z21)/(Z22-Z21),""),""),"")</f>
        <v/>
      </c>
      <c r="AB22" s="198"/>
      <c r="AC22" s="251">
        <f t="shared" si="9"/>
        <v>663401.7747207263</v>
      </c>
      <c r="AE22" s="198"/>
    </row>
    <row r="23" spans="1:31" x14ac:dyDescent="0.2">
      <c r="A23" s="176">
        <f t="shared" si="13"/>
        <v>8</v>
      </c>
      <c r="B23" s="56"/>
      <c r="C23" s="51">
        <v>0</v>
      </c>
      <c r="D23" s="252">
        <f t="shared" si="10"/>
        <v>0</v>
      </c>
      <c r="E23" s="56" t="s">
        <v>50</v>
      </c>
      <c r="F23" s="51">
        <v>0</v>
      </c>
      <c r="G23" s="241">
        <f t="shared" si="0"/>
        <v>0</v>
      </c>
      <c r="H23" s="242">
        <f>IF($A23&lt;=$N$4,H$15*'General Data'!$S15,"")</f>
        <v>621850</v>
      </c>
      <c r="I23" s="243">
        <f>IF(A23&lt;&gt;"",IF(I$15="",VLOOKUP(A23,'DOE Fuel Esc Rates'!$T$9:$W$38,3,TRUE),I$15),"")</f>
        <v>-2.1478981282602172E-3</v>
      </c>
      <c r="J23" s="243">
        <f>((1+I23)*(1+'General Data'!$M$25))-1</f>
        <v>-1.1500460263885737E-3</v>
      </c>
      <c r="K23" s="253">
        <f t="shared" si="11"/>
        <v>638540.00631512457</v>
      </c>
      <c r="L23" s="253">
        <f t="shared" si="1"/>
        <v>490894.13235812099</v>
      </c>
      <c r="M23" s="241">
        <f t="shared" si="2"/>
        <v>504069.3774640382</v>
      </c>
      <c r="N23" s="242">
        <f>IF($A23&lt;=$N$4,N$15*'General Data'!$S15,"")</f>
        <v>20210</v>
      </c>
      <c r="O23" s="243">
        <f>IF(A23&lt;&gt;"",IF(O$15="",VLOOKUP(A23,'DOE Fuel Esc Rates'!$T$9:$W$38,4,TRUE),O$15),"")</f>
        <v>1.744186046511631E-2</v>
      </c>
      <c r="P23" s="243">
        <f>((1+O23)*(1+'General Data'!$M$25))-1</f>
        <v>1.8459302325581239E-2</v>
      </c>
      <c r="Q23" s="253">
        <f t="shared" si="12"/>
        <v>23896.959459459464</v>
      </c>
      <c r="R23" s="253">
        <f t="shared" si="3"/>
        <v>15953.960625484642</v>
      </c>
      <c r="S23" s="241">
        <f t="shared" si="4"/>
        <v>18864.480469323058</v>
      </c>
      <c r="T23" s="242">
        <f t="shared" si="5"/>
        <v>0</v>
      </c>
      <c r="U23" s="245">
        <f t="shared" si="6"/>
        <v>0</v>
      </c>
      <c r="V23" s="246">
        <f>IF($A23&lt;=$N$4,VLOOKUP(A23,'DOE Fuel Esc Rates'!$T$9:$W$38,2,TRUE),"")</f>
        <v>2022</v>
      </c>
      <c r="W23" s="247">
        <f t="shared" si="7"/>
        <v>662436.96577458398</v>
      </c>
      <c r="X23" s="241">
        <f t="shared" si="8"/>
        <v>522933.85793336126</v>
      </c>
      <c r="Y23" s="248">
        <f>IF(A23&lt;&gt;"",SUM(X$15:X23),"")</f>
        <v>4814081.6359975617</v>
      </c>
      <c r="Z23" s="249">
        <f>IF(A23&lt;&gt;"",LCC0!Y23-Y23,"")</f>
        <v>172255.88022423629</v>
      </c>
      <c r="AA23" s="312" t="str">
        <f>IF(A23&lt;&gt;"",IF(Z23&gt;0,IF(SUM(AA$16:AA22)=0,A22+(-Z22)/(Z23-Z22),""),""),"")</f>
        <v/>
      </c>
      <c r="AB23" s="198"/>
      <c r="AC23" s="251">
        <f t="shared" si="9"/>
        <v>662436.96577458398</v>
      </c>
      <c r="AE23" s="198"/>
    </row>
    <row r="24" spans="1:31" x14ac:dyDescent="0.2">
      <c r="A24" s="176">
        <f t="shared" si="13"/>
        <v>9</v>
      </c>
      <c r="B24" s="56"/>
      <c r="C24" s="51">
        <v>0</v>
      </c>
      <c r="D24" s="252">
        <f t="shared" si="10"/>
        <v>0</v>
      </c>
      <c r="E24" s="56"/>
      <c r="F24" s="51">
        <v>0</v>
      </c>
      <c r="G24" s="241">
        <f t="shared" si="0"/>
        <v>0</v>
      </c>
      <c r="H24" s="242">
        <f>IF($A24&lt;=$N$4,H$15*'General Data'!$S16,"")</f>
        <v>621850</v>
      </c>
      <c r="I24" s="243">
        <f>IF(A24&lt;&gt;"",IF(I$15="",VLOOKUP(A24,'DOE Fuel Esc Rates'!$T$9:$W$38,3,TRUE),I$15),"")</f>
        <v>-2.4600246002461912E-3</v>
      </c>
      <c r="J24" s="243">
        <f>((1+I24)*(1+'General Data'!$M$25))-1</f>
        <v>-1.4624846248465495E-3</v>
      </c>
      <c r="K24" s="253">
        <f t="shared" si="11"/>
        <v>636969.18219134805</v>
      </c>
      <c r="L24" s="253">
        <f t="shared" si="1"/>
        <v>476596.2450078844</v>
      </c>
      <c r="M24" s="241">
        <f t="shared" si="2"/>
        <v>488183.83921868535</v>
      </c>
      <c r="N24" s="242">
        <f>IF($A24&lt;=$N$4,N$15*'General Data'!$S16,"")</f>
        <v>20210</v>
      </c>
      <c r="O24" s="243">
        <f>IF(A24&lt;&gt;"",IF(O$15="",VLOOKUP(A24,'DOE Fuel Esc Rates'!$T$9:$W$38,4,TRUE),O$15),"")</f>
        <v>1.0476190476190528E-2</v>
      </c>
      <c r="P24" s="243">
        <f>((1+O24)*(1+'General Data'!$M$25))-1</f>
        <v>1.1486666666666645E-2</v>
      </c>
      <c r="Q24" s="253">
        <f t="shared" si="12"/>
        <v>24147.308558558565</v>
      </c>
      <c r="R24" s="253">
        <f t="shared" si="3"/>
        <v>15489.282160664701</v>
      </c>
      <c r="S24" s="241">
        <f t="shared" si="4"/>
        <v>18506.901320343753</v>
      </c>
      <c r="T24" s="242">
        <f t="shared" si="5"/>
        <v>0</v>
      </c>
      <c r="U24" s="245">
        <f t="shared" si="6"/>
        <v>0</v>
      </c>
      <c r="V24" s="246">
        <f>IF($A24&lt;=$N$4,VLOOKUP(A24,'DOE Fuel Esc Rates'!$T$9:$W$38,2,TRUE),"")</f>
        <v>2023</v>
      </c>
      <c r="W24" s="247">
        <f t="shared" si="7"/>
        <v>661116.49074990663</v>
      </c>
      <c r="X24" s="241">
        <f t="shared" si="8"/>
        <v>506690.74053902912</v>
      </c>
      <c r="Y24" s="248">
        <f>IF(A24&lt;&gt;"",SUM(X$15:X24),"")</f>
        <v>5320772.376536591</v>
      </c>
      <c r="Z24" s="249">
        <f>IF(A24&lt;&gt;"",LCC0!Y24-Y24,"")</f>
        <v>203988.11054950114</v>
      </c>
      <c r="AA24" s="312" t="str">
        <f>IF(A24&lt;&gt;"",IF(Z24&gt;0,IF(SUM(AA$16:AA23)=0,A23+(-Z23)/(Z24-Z23),""),""),"")</f>
        <v/>
      </c>
      <c r="AB24" s="198"/>
      <c r="AC24" s="251">
        <f t="shared" si="9"/>
        <v>661116.49074990663</v>
      </c>
      <c r="AE24" s="198"/>
    </row>
    <row r="25" spans="1:31" x14ac:dyDescent="0.2">
      <c r="A25" s="176">
        <f t="shared" si="13"/>
        <v>10</v>
      </c>
      <c r="B25" s="56"/>
      <c r="C25" s="51">
        <v>0</v>
      </c>
      <c r="D25" s="252">
        <f t="shared" si="10"/>
        <v>0</v>
      </c>
      <c r="E25" s="56"/>
      <c r="F25" s="51">
        <v>0</v>
      </c>
      <c r="G25" s="241">
        <f t="shared" si="0"/>
        <v>0</v>
      </c>
      <c r="H25" s="242">
        <f>IF($A25&lt;=$N$4,H$15*'General Data'!$S17,"")</f>
        <v>621850</v>
      </c>
      <c r="I25" s="243">
        <f>IF(A25&lt;&gt;"",IF(I$15="",VLOOKUP(A25,'DOE Fuel Esc Rates'!$T$9:$W$38,3,TRUE),I$15),"")</f>
        <v>2.1578298397040285E-3</v>
      </c>
      <c r="J25" s="243">
        <f>((1+I25)*(1+'General Data'!$M$25))-1</f>
        <v>3.159987669543618E-3</v>
      </c>
      <c r="K25" s="253">
        <f t="shared" si="11"/>
        <v>638343.65329965239</v>
      </c>
      <c r="L25" s="253">
        <f t="shared" si="1"/>
        <v>462714.80097852857</v>
      </c>
      <c r="M25" s="241">
        <f t="shared" si="2"/>
        <v>474987.62803321617</v>
      </c>
      <c r="N25" s="242">
        <f>IF($A25&lt;=$N$4,N$15*'General Data'!$S17,"")</f>
        <v>20210</v>
      </c>
      <c r="O25" s="243">
        <f>IF(A25&lt;&gt;"",IF(O$15="",VLOOKUP(A25,'DOE Fuel Esc Rates'!$T$9:$W$38,4,TRUE),O$15),"")</f>
        <v>1.6965127238454336E-2</v>
      </c>
      <c r="P25" s="243">
        <f>((1+O25)*(1+'General Data'!$M$25))-1</f>
        <v>1.7982092365692592E-2</v>
      </c>
      <c r="Q25" s="253">
        <f t="shared" si="12"/>
        <v>24556.970720720728</v>
      </c>
      <c r="R25" s="253">
        <f t="shared" si="3"/>
        <v>15038.138020062815</v>
      </c>
      <c r="S25" s="241">
        <f t="shared" si="4"/>
        <v>18272.692481585342</v>
      </c>
      <c r="T25" s="242">
        <f t="shared" si="5"/>
        <v>0</v>
      </c>
      <c r="U25" s="245">
        <f t="shared" si="6"/>
        <v>0</v>
      </c>
      <c r="V25" s="246">
        <f>IF($A25&lt;=$N$4,VLOOKUP(A25,'DOE Fuel Esc Rates'!$T$9:$W$38,2,TRUE),"")</f>
        <v>2024</v>
      </c>
      <c r="W25" s="247">
        <f t="shared" si="7"/>
        <v>662900.6240203731</v>
      </c>
      <c r="X25" s="241">
        <f t="shared" si="8"/>
        <v>493260.32051480154</v>
      </c>
      <c r="Y25" s="248">
        <f>IF(A25&lt;&gt;"",SUM(X$15:X25),"")</f>
        <v>5814032.6970513929</v>
      </c>
      <c r="Z25" s="249">
        <f>IF(A25&lt;&gt;"",LCC0!Y25-Y25,"")</f>
        <v>234929.85040102899</v>
      </c>
      <c r="AA25" s="312" t="str">
        <f>IF(A25&lt;&gt;"",IF(Z25&gt;0,IF(SUM(AA$16:AA24)=0,A24+(-Z24)/(Z25-Z24),""),""),"")</f>
        <v/>
      </c>
      <c r="AB25" s="198"/>
      <c r="AC25" s="251">
        <f t="shared" si="9"/>
        <v>662900.6240203731</v>
      </c>
      <c r="AE25" s="198"/>
    </row>
    <row r="26" spans="1:31" x14ac:dyDescent="0.2">
      <c r="A26" s="176">
        <f t="shared" si="13"/>
        <v>11</v>
      </c>
      <c r="B26" s="56"/>
      <c r="C26" s="51">
        <v>0</v>
      </c>
      <c r="D26" s="252">
        <f t="shared" si="10"/>
        <v>0</v>
      </c>
      <c r="E26" s="56"/>
      <c r="F26" s="51">
        <v>0</v>
      </c>
      <c r="G26" s="241">
        <f t="shared" si="0"/>
        <v>0</v>
      </c>
      <c r="H26" s="242">
        <f>IF($A26&lt;=$N$4,H$15*'General Data'!$S18,"")</f>
        <v>621850</v>
      </c>
      <c r="I26" s="243">
        <f>IF(A26&lt;&gt;"",IF(I$15="",VLOOKUP(A26,'DOE Fuel Esc Rates'!$T$9:$W$38,3,TRUE),I$15),"")</f>
        <v>3.9987696093510827E-3</v>
      </c>
      <c r="J26" s="243">
        <f>((1+I26)*(1+'General Data'!$M$25))-1</f>
        <v>5.0027683789604094E-3</v>
      </c>
      <c r="K26" s="253">
        <f t="shared" si="11"/>
        <v>640896.24250078923</v>
      </c>
      <c r="L26" s="253">
        <f t="shared" si="1"/>
        <v>449237.67085294035</v>
      </c>
      <c r="M26" s="241">
        <f t="shared" si="2"/>
        <v>462997.0816747701</v>
      </c>
      <c r="N26" s="242">
        <f>IF($A26&lt;=$N$4,N$15*'General Data'!$S18,"")</f>
        <v>20210</v>
      </c>
      <c r="O26" s="243">
        <f>IF(A26&lt;&gt;"",IF(O$15="",VLOOKUP(A26,'DOE Fuel Esc Rates'!$T$9:$W$38,4,TRUE),O$15),"")</f>
        <v>2.1316033364226161E-2</v>
      </c>
      <c r="P26" s="243">
        <f>((1+O26)*(1+'General Data'!$M$25))-1</f>
        <v>2.2337349397590245E-2</v>
      </c>
      <c r="Q26" s="253">
        <f t="shared" si="12"/>
        <v>25080.427927927936</v>
      </c>
      <c r="R26" s="253">
        <f t="shared" si="3"/>
        <v>14600.134000060985</v>
      </c>
      <c r="S26" s="241">
        <f t="shared" si="4"/>
        <v>18118.634761336951</v>
      </c>
      <c r="T26" s="242">
        <f t="shared" si="5"/>
        <v>0</v>
      </c>
      <c r="U26" s="245">
        <f t="shared" si="6"/>
        <v>0</v>
      </c>
      <c r="V26" s="246">
        <f>IF($A26&lt;=$N$4,VLOOKUP(A26,'DOE Fuel Esc Rates'!$T$9:$W$38,2,TRUE),"")</f>
        <v>2025</v>
      </c>
      <c r="W26" s="247">
        <f t="shared" si="7"/>
        <v>665976.67042871716</v>
      </c>
      <c r="X26" s="241">
        <f t="shared" si="8"/>
        <v>481115.71643610706</v>
      </c>
      <c r="Y26" s="248">
        <f>IF(A26&lt;&gt;"",SUM(X$15:X26),"")</f>
        <v>6295148.4134874996</v>
      </c>
      <c r="Z26" s="249">
        <f>IF(A26&lt;&gt;"",LCC0!Y26-Y26,"")</f>
        <v>265168.17786823492</v>
      </c>
      <c r="AA26" s="312" t="str">
        <f>IF(A26&lt;&gt;"",IF(Z26&gt;0,IF(SUM(AA$16:AA25)=0,A25+(-Z25)/(Z26-Z25),""),""),"")</f>
        <v/>
      </c>
      <c r="AB26" s="198"/>
      <c r="AC26" s="251">
        <f t="shared" si="9"/>
        <v>665976.67042871716</v>
      </c>
      <c r="AE26" s="198"/>
    </row>
    <row r="27" spans="1:31" x14ac:dyDescent="0.2">
      <c r="A27" s="176">
        <f t="shared" si="13"/>
        <v>12</v>
      </c>
      <c r="B27" s="56"/>
      <c r="C27" s="51">
        <v>0</v>
      </c>
      <c r="D27" s="252">
        <f t="shared" si="10"/>
        <v>0</v>
      </c>
      <c r="E27" s="56"/>
      <c r="F27" s="51">
        <v>0</v>
      </c>
      <c r="G27" s="241">
        <f t="shared" si="0"/>
        <v>0</v>
      </c>
      <c r="H27" s="242">
        <f>IF($A27&lt;=$N$4,H$15*'General Data'!$S19,"")</f>
        <v>621850</v>
      </c>
      <c r="I27" s="243">
        <f>IF(A27&lt;&gt;"",IF(I$15="",VLOOKUP(A27,'DOE Fuel Esc Rates'!$T$9:$W$38,3,TRUE),I$15),"")</f>
        <v>1.5318627450979783E-3</v>
      </c>
      <c r="J27" s="243">
        <f>((1+I27)*(1+'General Data'!$M$25))-1</f>
        <v>2.5333946078429648E-3</v>
      </c>
      <c r="K27" s="253">
        <f t="shared" si="11"/>
        <v>641878.00757814944</v>
      </c>
      <c r="L27" s="253">
        <f t="shared" si="1"/>
        <v>436153.0784980004</v>
      </c>
      <c r="M27" s="241">
        <f t="shared" si="2"/>
        <v>450200.32005366683</v>
      </c>
      <c r="N27" s="242">
        <f>IF($A27&lt;=$N$4,N$15*'General Data'!$S19,"")</f>
        <v>20210</v>
      </c>
      <c r="O27" s="243">
        <f>IF(A27&lt;&gt;"",IF(O$15="",VLOOKUP(A27,'DOE Fuel Esc Rates'!$T$9:$W$38,4,TRUE),O$15),"")</f>
        <v>5.4446460980037692E-3</v>
      </c>
      <c r="P27" s="243">
        <f>((1+O27)*(1+'General Data'!$M$25))-1</f>
        <v>6.4500907441016331E-3</v>
      </c>
      <c r="Q27" s="253">
        <f t="shared" si="12"/>
        <v>25216.981981981993</v>
      </c>
      <c r="R27" s="253">
        <f t="shared" si="3"/>
        <v>14174.887378699988</v>
      </c>
      <c r="S27" s="241">
        <f t="shared" si="4"/>
        <v>17686.683801350893</v>
      </c>
      <c r="T27" s="242">
        <f t="shared" si="5"/>
        <v>0</v>
      </c>
      <c r="U27" s="245">
        <f t="shared" si="6"/>
        <v>0</v>
      </c>
      <c r="V27" s="246">
        <f>IF($A27&lt;=$N$4,VLOOKUP(A27,'DOE Fuel Esc Rates'!$T$9:$W$38,2,TRUE),"")</f>
        <v>2026</v>
      </c>
      <c r="W27" s="247">
        <f t="shared" si="7"/>
        <v>667094.98956013145</v>
      </c>
      <c r="X27" s="241">
        <f t="shared" si="8"/>
        <v>467887.00385501771</v>
      </c>
      <c r="Y27" s="248">
        <f>IF(A27&lt;&gt;"",SUM(X$15:X27),"")</f>
        <v>6763035.4173425175</v>
      </c>
      <c r="Z27" s="249">
        <f>IF(A27&lt;&gt;"",LCC0!Y27-Y27,"")</f>
        <v>294588.15234478936</v>
      </c>
      <c r="AA27" s="312" t="str">
        <f>IF(A27&lt;&gt;"",IF(Z27&gt;0,IF(SUM(AA$16:AA26)=0,A26+(-Z26)/(Z27-Z26),""),""),"")</f>
        <v/>
      </c>
      <c r="AB27" s="198"/>
      <c r="AC27" s="251">
        <f t="shared" si="9"/>
        <v>667094.98956013145</v>
      </c>
      <c r="AE27" s="198"/>
    </row>
    <row r="28" spans="1:31" x14ac:dyDescent="0.2">
      <c r="A28" s="176">
        <f t="shared" si="13"/>
        <v>13</v>
      </c>
      <c r="B28" s="56"/>
      <c r="C28" s="51">
        <v>0</v>
      </c>
      <c r="D28" s="252">
        <f t="shared" si="10"/>
        <v>0</v>
      </c>
      <c r="E28" s="56"/>
      <c r="F28" s="51">
        <v>0</v>
      </c>
      <c r="G28" s="241">
        <f t="shared" si="0"/>
        <v>0</v>
      </c>
      <c r="H28" s="242">
        <f>IF($A28&lt;=$N$4,H$15*'General Data'!$S20,"")</f>
        <v>621850</v>
      </c>
      <c r="I28" s="243">
        <f>IF(A28&lt;&gt;"",IF(I$15="",VLOOKUP(A28,'DOE Fuel Esc Rates'!$T$9:$W$38,3,TRUE),I$15),"")</f>
        <v>-4.282655246252709E-3</v>
      </c>
      <c r="J28" s="243">
        <f>((1+I28)*(1+'General Data'!$M$25))-1</f>
        <v>-3.2869379014990319E-3</v>
      </c>
      <c r="K28" s="253">
        <f t="shared" si="11"/>
        <v>639129.06536154065</v>
      </c>
      <c r="L28" s="253">
        <f t="shared" si="1"/>
        <v>423449.59077475767</v>
      </c>
      <c r="M28" s="241">
        <f t="shared" si="2"/>
        <v>435215.79348652851</v>
      </c>
      <c r="N28" s="242">
        <f>IF($A28&lt;=$N$4,N$15*'General Data'!$S20,"")</f>
        <v>20210</v>
      </c>
      <c r="O28" s="243">
        <f>IF(A28&lt;&gt;"",IF(O$15="",VLOOKUP(A28,'DOE Fuel Esc Rates'!$T$9:$W$38,4,TRUE),O$15),"")</f>
        <v>-7.2202166064981865E-3</v>
      </c>
      <c r="P28" s="243">
        <f>((1+O28)*(1+'General Data'!$M$25))-1</f>
        <v>-6.2274368231047816E-3</v>
      </c>
      <c r="Q28" s="253">
        <f t="shared" si="12"/>
        <v>25034.909909909922</v>
      </c>
      <c r="R28" s="253">
        <f t="shared" si="3"/>
        <v>13762.026581262126</v>
      </c>
      <c r="S28" s="241">
        <f t="shared" si="4"/>
        <v>17047.55544976165</v>
      </c>
      <c r="T28" s="242">
        <f t="shared" si="5"/>
        <v>0</v>
      </c>
      <c r="U28" s="245">
        <f t="shared" si="6"/>
        <v>0</v>
      </c>
      <c r="V28" s="246">
        <f>IF($A28&lt;=$N$4,VLOOKUP(A28,'DOE Fuel Esc Rates'!$T$9:$W$38,2,TRUE),"")</f>
        <v>2027</v>
      </c>
      <c r="W28" s="247">
        <f t="shared" si="7"/>
        <v>664163.97527145059</v>
      </c>
      <c r="X28" s="241">
        <f t="shared" si="8"/>
        <v>452263.34893629013</v>
      </c>
      <c r="Y28" s="248">
        <f>IF(A28&lt;&gt;"",SUM(X$15:X28),"")</f>
        <v>7215298.766278808</v>
      </c>
      <c r="Z28" s="249">
        <f>IF(A28&lt;&gt;"",LCC0!Y28-Y28,"")</f>
        <v>323016.15440130513</v>
      </c>
      <c r="AA28" s="312" t="str">
        <f>IF(A28&lt;&gt;"",IF(Z28&gt;0,IF(SUM(AA$16:AA27)=0,A27+(-Z27)/(Z28-Z27),""),""),"")</f>
        <v/>
      </c>
      <c r="AB28" s="198"/>
      <c r="AC28" s="251">
        <f t="shared" si="9"/>
        <v>664163.97527145059</v>
      </c>
      <c r="AE28" s="198"/>
    </row>
    <row r="29" spans="1:31" x14ac:dyDescent="0.2">
      <c r="A29" s="176">
        <f t="shared" si="13"/>
        <v>14</v>
      </c>
      <c r="B29" s="56"/>
      <c r="C29" s="51">
        <v>0</v>
      </c>
      <c r="D29" s="252">
        <f t="shared" si="10"/>
        <v>0</v>
      </c>
      <c r="E29" s="56"/>
      <c r="F29" s="51">
        <v>0</v>
      </c>
      <c r="G29" s="241">
        <f t="shared" si="0"/>
        <v>0</v>
      </c>
      <c r="H29" s="242">
        <f>IF($A29&lt;=$N$4,H$15*'General Data'!$S21,"")</f>
        <v>621850</v>
      </c>
      <c r="I29" s="243">
        <f>IF(A29&lt;&gt;"",IF(I$15="",VLOOKUP(A29,'DOE Fuel Esc Rates'!$T$9:$W$38,3,TRUE),I$15),"")</f>
        <v>-7.0660522273424675E-3</v>
      </c>
      <c r="J29" s="243">
        <f>((1+I29)*(1+'General Data'!$M$25))-1</f>
        <v>-6.0731182795699112E-3</v>
      </c>
      <c r="K29" s="253">
        <f t="shared" si="11"/>
        <v>634612.94600568339</v>
      </c>
      <c r="L29" s="253">
        <f t="shared" si="1"/>
        <v>411116.10754830838</v>
      </c>
      <c r="M29" s="241">
        <f t="shared" si="2"/>
        <v>419553.91840736731</v>
      </c>
      <c r="N29" s="242">
        <f>IF($A29&lt;=$N$4,N$15*'General Data'!$S21,"")</f>
        <v>20210</v>
      </c>
      <c r="O29" s="243">
        <f>IF(A29&lt;&gt;"",IF(O$15="",VLOOKUP(A29,'DOE Fuel Esc Rates'!$T$9:$W$38,4,TRUE),O$15),"")</f>
        <v>-4.5454545454546302E-3</v>
      </c>
      <c r="P29" s="243">
        <f>((1+O29)*(1+'General Data'!$M$25))-1</f>
        <v>-3.5500000000001641E-3</v>
      </c>
      <c r="Q29" s="253">
        <f t="shared" si="12"/>
        <v>24921.114864864874</v>
      </c>
      <c r="R29" s="253">
        <f t="shared" si="3"/>
        <v>13361.190855594295</v>
      </c>
      <c r="S29" s="241">
        <f t="shared" si="4"/>
        <v>16475.792778013241</v>
      </c>
      <c r="T29" s="242">
        <f t="shared" si="5"/>
        <v>0</v>
      </c>
      <c r="U29" s="245">
        <f t="shared" si="6"/>
        <v>0</v>
      </c>
      <c r="V29" s="246">
        <f>IF($A29&lt;=$N$4,VLOOKUP(A29,'DOE Fuel Esc Rates'!$T$9:$W$38,2,TRUE),"")</f>
        <v>2028</v>
      </c>
      <c r="W29" s="247">
        <f t="shared" si="7"/>
        <v>659534.06087054824</v>
      </c>
      <c r="X29" s="241">
        <f t="shared" si="8"/>
        <v>436029.71118538053</v>
      </c>
      <c r="Y29" s="248">
        <f>IF(A29&lt;&gt;"",SUM(X$15:X29),"")</f>
        <v>7651328.4774641888</v>
      </c>
      <c r="Z29" s="249">
        <f>IF(A29&lt;&gt;"",LCC0!Y29-Y29,"")</f>
        <v>350431.68165529147</v>
      </c>
      <c r="AA29" s="312" t="str">
        <f>IF(A29&lt;&gt;"",IF(Z29&gt;0,IF(SUM(AA$16:AA28)=0,A28+(-Z28)/(Z29-Z28),""),""),"")</f>
        <v/>
      </c>
      <c r="AB29" s="198"/>
      <c r="AC29" s="251">
        <f t="shared" si="9"/>
        <v>659534.06087054824</v>
      </c>
      <c r="AE29" s="198"/>
    </row>
    <row r="30" spans="1:31" x14ac:dyDescent="0.2">
      <c r="A30" s="176">
        <f t="shared" si="13"/>
        <v>15</v>
      </c>
      <c r="B30" s="56" t="s">
        <v>51</v>
      </c>
      <c r="C30" s="51">
        <v>0</v>
      </c>
      <c r="D30" s="252">
        <f t="shared" si="10"/>
        <v>0</v>
      </c>
      <c r="E30" s="56"/>
      <c r="F30" s="51">
        <v>0</v>
      </c>
      <c r="G30" s="241">
        <f t="shared" si="0"/>
        <v>0</v>
      </c>
      <c r="H30" s="242">
        <f>IF($A30&lt;=$N$4,H$15*'General Data'!$S22,"")</f>
        <v>621850</v>
      </c>
      <c r="I30" s="243">
        <f>IF(A30&lt;&gt;"",IF(I$15="",VLOOKUP(A30,'DOE Fuel Esc Rates'!$T$9:$W$38,3,TRUE),I$15),"")</f>
        <v>-2.7846534653466204E-3</v>
      </c>
      <c r="J30" s="243">
        <f>((1+I30)*(1+'General Data'!$M$25))-1</f>
        <v>-1.7874381188121014E-3</v>
      </c>
      <c r="K30" s="253">
        <f t="shared" si="11"/>
        <v>632845.76886643481</v>
      </c>
      <c r="L30" s="253">
        <f t="shared" si="1"/>
        <v>399141.85198864888</v>
      </c>
      <c r="M30" s="241">
        <f t="shared" si="2"/>
        <v>406199.61760638293</v>
      </c>
      <c r="N30" s="242">
        <f>IF($A30&lt;=$N$4,N$15*'General Data'!$S22,"")</f>
        <v>20210</v>
      </c>
      <c r="O30" s="243">
        <f>IF(A30&lt;&gt;"",IF(O$15="",VLOOKUP(A30,'DOE Fuel Esc Rates'!$T$9:$W$38,4,TRUE),O$15),"")</f>
        <v>2.73972602739736E-3</v>
      </c>
      <c r="P30" s="243">
        <f>((1+O30)*(1+'General Data'!$M$25))-1</f>
        <v>3.7424657534246286E-3</v>
      </c>
      <c r="Q30" s="253">
        <f t="shared" si="12"/>
        <v>24989.391891891904</v>
      </c>
      <c r="R30" s="253">
        <f t="shared" si="3"/>
        <v>12972.029956887664</v>
      </c>
      <c r="S30" s="241">
        <f t="shared" si="4"/>
        <v>16039.739743989485</v>
      </c>
      <c r="T30" s="242">
        <f t="shared" si="5"/>
        <v>0</v>
      </c>
      <c r="U30" s="245">
        <f t="shared" si="6"/>
        <v>0</v>
      </c>
      <c r="V30" s="246">
        <f>IF($A30&lt;=$N$4,VLOOKUP(A30,'DOE Fuel Esc Rates'!$T$9:$W$38,2,TRUE),"")</f>
        <v>2029</v>
      </c>
      <c r="W30" s="247">
        <f t="shared" si="7"/>
        <v>657835.16075832676</v>
      </c>
      <c r="X30" s="241">
        <f t="shared" si="8"/>
        <v>422239.35735037242</v>
      </c>
      <c r="Y30" s="248">
        <f>IF(A30&lt;&gt;"",SUM(X$15:X30),"")</f>
        <v>8073567.8348145615</v>
      </c>
      <c r="Z30" s="249">
        <f>IF(A30&lt;&gt;"",LCC0!Y30-Y30,"")</f>
        <v>376996.92253214493</v>
      </c>
      <c r="AA30" s="312" t="str">
        <f>IF(A30&lt;&gt;"",IF(Z30&gt;0,IF(SUM(AA$16:AA29)=0,A29+(-Z29)/(Z30-Z29),""),""),"")</f>
        <v/>
      </c>
      <c r="AB30" s="198"/>
      <c r="AC30" s="251">
        <f t="shared" si="9"/>
        <v>657835.16075832676</v>
      </c>
      <c r="AE30" s="198"/>
    </row>
    <row r="31" spans="1:31" x14ac:dyDescent="0.2">
      <c r="A31" s="176">
        <f t="shared" si="13"/>
        <v>16</v>
      </c>
      <c r="B31" s="56"/>
      <c r="C31" s="51">
        <v>0</v>
      </c>
      <c r="D31" s="252">
        <f t="shared" si="10"/>
        <v>0</v>
      </c>
      <c r="E31" s="56"/>
      <c r="F31" s="51">
        <v>0</v>
      </c>
      <c r="G31" s="241">
        <f t="shared" si="0"/>
        <v>0</v>
      </c>
      <c r="H31" s="242">
        <f>IF($A31&lt;=$N$4,H$15*'General Data'!$S23,"")</f>
        <v>621850</v>
      </c>
      <c r="I31" s="243">
        <f>IF(A31&lt;&gt;"",IF(I$15="",VLOOKUP(A31,'DOE Fuel Esc Rates'!$T$9:$W$38,3,TRUE),I$15),"")</f>
        <v>-1.2410797393732631E-3</v>
      </c>
      <c r="J31" s="243">
        <f>((1+I31)*(1+'General Data'!$M$25))-1</f>
        <v>-2.4232081911279568E-4</v>
      </c>
      <c r="K31" s="253">
        <f t="shared" si="11"/>
        <v>632060.35680454655</v>
      </c>
      <c r="L31" s="253">
        <f t="shared" si="1"/>
        <v>387516.3611540281</v>
      </c>
      <c r="M31" s="241">
        <f t="shared" si="2"/>
        <v>393879.11795226263</v>
      </c>
      <c r="N31" s="242">
        <f>IF($A31&lt;=$N$4,N$15*'General Data'!$S23,"")</f>
        <v>20210</v>
      </c>
      <c r="O31" s="243">
        <f>IF(A31&lt;&gt;"",IF(O$15="",VLOOKUP(A31,'DOE Fuel Esc Rates'!$T$9:$W$38,4,TRUE),O$15),"")</f>
        <v>8.1967213114753079E-3</v>
      </c>
      <c r="P31" s="243">
        <f>((1+O31)*(1+'General Data'!$M$25))-1</f>
        <v>9.2049180327866686E-3</v>
      </c>
      <c r="Q31" s="253">
        <f t="shared" si="12"/>
        <v>25194.222972972984</v>
      </c>
      <c r="R31" s="253">
        <f t="shared" si="3"/>
        <v>12594.203841638511</v>
      </c>
      <c r="S31" s="241">
        <f t="shared" si="4"/>
        <v>15700.206816096665</v>
      </c>
      <c r="T31" s="242">
        <f t="shared" si="5"/>
        <v>0</v>
      </c>
      <c r="U31" s="245">
        <f t="shared" si="6"/>
        <v>0</v>
      </c>
      <c r="V31" s="246">
        <f>IF($A31&lt;=$N$4,VLOOKUP(A31,'DOE Fuel Esc Rates'!$T$9:$W$38,2,TRUE),"")</f>
        <v>2030</v>
      </c>
      <c r="W31" s="247">
        <f t="shared" si="7"/>
        <v>657254.57977751957</v>
      </c>
      <c r="X31" s="241">
        <f t="shared" si="8"/>
        <v>409579.32476835931</v>
      </c>
      <c r="Y31" s="248">
        <f>IF(A31&lt;&gt;"",SUM(X$15:X31),"")</f>
        <v>8483147.1595829204</v>
      </c>
      <c r="Z31" s="249">
        <f>IF(A31&lt;&gt;"",LCC0!Y31-Y31,"")</f>
        <v>402793.57006381452</v>
      </c>
      <c r="AA31" s="312" t="str">
        <f>IF(A31&lt;&gt;"",IF(Z31&gt;0,IF(SUM(AA$16:AA30)=0,A30+(-Z30)/(Z31-Z30),""),""),"")</f>
        <v/>
      </c>
      <c r="AB31" s="198"/>
      <c r="AC31" s="251">
        <f t="shared" si="9"/>
        <v>657254.57977751957</v>
      </c>
      <c r="AE31" s="198"/>
    </row>
    <row r="32" spans="1:31" x14ac:dyDescent="0.2">
      <c r="A32" s="176">
        <f t="shared" si="13"/>
        <v>17</v>
      </c>
      <c r="B32" s="56"/>
      <c r="C32" s="51">
        <v>0</v>
      </c>
      <c r="D32" s="252">
        <f t="shared" si="10"/>
        <v>0</v>
      </c>
      <c r="E32" s="56"/>
      <c r="F32" s="51">
        <v>0</v>
      </c>
      <c r="G32" s="241">
        <f t="shared" si="0"/>
        <v>0</v>
      </c>
      <c r="H32" s="242">
        <f>IF($A32&lt;=$N$4,H$15*'General Data'!$S24,"")</f>
        <v>621850</v>
      </c>
      <c r="I32" s="243">
        <f>IF(A32&lt;&gt;"",IF(I$15="",VLOOKUP(A32,'DOE Fuel Esc Rates'!$T$9:$W$38,3,TRUE),I$15),"")</f>
        <v>0</v>
      </c>
      <c r="J32" s="243">
        <f>((1+I32)*(1+'General Data'!$M$25))-1</f>
        <v>9.9999999999988987E-4</v>
      </c>
      <c r="K32" s="253">
        <f t="shared" si="11"/>
        <v>632060.35680454655</v>
      </c>
      <c r="L32" s="253">
        <f t="shared" si="1"/>
        <v>376229.47684857098</v>
      </c>
      <c r="M32" s="241">
        <f t="shared" si="2"/>
        <v>382406.91063326469</v>
      </c>
      <c r="N32" s="242">
        <f>IF($A32&lt;=$N$4,N$15*'General Data'!$S24,"")</f>
        <v>20210</v>
      </c>
      <c r="O32" s="243">
        <f>IF(A32&lt;&gt;"",IF(O$15="",VLOOKUP(A32,'DOE Fuel Esc Rates'!$T$9:$W$38,4,TRUE),O$15),"")</f>
        <v>1.6260162601625883E-2</v>
      </c>
      <c r="P32" s="243">
        <f>((1+O32)*(1+'General Data'!$M$25))-1</f>
        <v>1.7276422764227473E-2</v>
      </c>
      <c r="Q32" s="253">
        <f t="shared" si="12"/>
        <v>25603.885135135144</v>
      </c>
      <c r="R32" s="253">
        <f t="shared" si="3"/>
        <v>12227.382370522826</v>
      </c>
      <c r="S32" s="241">
        <f t="shared" si="4"/>
        <v>15490.771584277234</v>
      </c>
      <c r="T32" s="242">
        <f t="shared" si="5"/>
        <v>0</v>
      </c>
      <c r="U32" s="245">
        <f t="shared" si="6"/>
        <v>0</v>
      </c>
      <c r="V32" s="246">
        <f>IF($A32&lt;=$N$4,VLOOKUP(A32,'DOE Fuel Esc Rates'!$T$9:$W$38,2,TRUE),"")</f>
        <v>2031</v>
      </c>
      <c r="W32" s="247">
        <f t="shared" si="7"/>
        <v>657664.2419396817</v>
      </c>
      <c r="X32" s="241">
        <f t="shared" si="8"/>
        <v>397897.68221754191</v>
      </c>
      <c r="Y32" s="248">
        <f>IF(A32&lt;&gt;"",SUM(X$15:X32),"")</f>
        <v>8881044.8418004625</v>
      </c>
      <c r="Z32" s="249">
        <f>IF(A32&lt;&gt;"",LCC0!Y32-Y32,"")</f>
        <v>427901.52718704566</v>
      </c>
      <c r="AA32" s="312" t="str">
        <f>IF(A32&lt;&gt;"",IF(Z32&gt;0,IF(SUM(AA$16:AA31)=0,A31+(-Z31)/(Z32-Z31),""),""),"")</f>
        <v/>
      </c>
      <c r="AB32" s="198"/>
      <c r="AC32" s="251">
        <f t="shared" si="9"/>
        <v>657664.2419396817</v>
      </c>
      <c r="AE32" s="198"/>
    </row>
    <row r="33" spans="1:31" x14ac:dyDescent="0.2">
      <c r="A33" s="176">
        <f t="shared" si="13"/>
        <v>18</v>
      </c>
      <c r="B33" s="56"/>
      <c r="C33" s="51">
        <v>0</v>
      </c>
      <c r="D33" s="252">
        <f t="shared" si="10"/>
        <v>0</v>
      </c>
      <c r="E33" s="56"/>
      <c r="F33" s="51">
        <v>0</v>
      </c>
      <c r="G33" s="241">
        <f t="shared" si="0"/>
        <v>0</v>
      </c>
      <c r="H33" s="242">
        <f>IF($A33&lt;=$N$4,H$15*'General Data'!$S25,"")</f>
        <v>621850</v>
      </c>
      <c r="I33" s="243">
        <f>IF(A33&lt;&gt;"",IF(I$15="",VLOOKUP(A33,'DOE Fuel Esc Rates'!$T$9:$W$38,3,TRUE),I$15),"")</f>
        <v>2.1745883814849876E-3</v>
      </c>
      <c r="J33" s="243">
        <f>((1+I33)*(1+'General Data'!$M$25))-1</f>
        <v>3.1767629698664646E-3</v>
      </c>
      <c r="K33" s="253">
        <f t="shared" si="11"/>
        <v>633434.827912851</v>
      </c>
      <c r="L33" s="253">
        <f t="shared" si="1"/>
        <v>365271.33674618544</v>
      </c>
      <c r="M33" s="241">
        <f t="shared" si="2"/>
        <v>372076.20219235669</v>
      </c>
      <c r="N33" s="242">
        <f>IF($A33&lt;=$N$4,N$15*'General Data'!$S25,"")</f>
        <v>20210</v>
      </c>
      <c r="O33" s="243">
        <f>IF(A33&lt;&gt;"",IF(O$15="",VLOOKUP(A33,'DOE Fuel Esc Rates'!$T$9:$W$38,4,TRUE),O$15),"")</f>
        <v>1.3333333333333419E-2</v>
      </c>
      <c r="P33" s="243">
        <f>((1+O33)*(1+'General Data'!$M$25))-1</f>
        <v>1.434666666666673E-2</v>
      </c>
      <c r="Q33" s="253">
        <f t="shared" si="12"/>
        <v>25945.270270270281</v>
      </c>
      <c r="R33" s="253">
        <f t="shared" si="3"/>
        <v>11871.245019925074</v>
      </c>
      <c r="S33" s="241">
        <f t="shared" si="4"/>
        <v>15240.111849903818</v>
      </c>
      <c r="T33" s="242">
        <f t="shared" si="5"/>
        <v>0</v>
      </c>
      <c r="U33" s="245">
        <f t="shared" si="6"/>
        <v>0</v>
      </c>
      <c r="V33" s="246">
        <f>IF($A33&lt;=$N$4,VLOOKUP(A33,'DOE Fuel Esc Rates'!$T$9:$W$38,2,TRUE),"")</f>
        <v>2032</v>
      </c>
      <c r="W33" s="247">
        <f t="shared" si="7"/>
        <v>659380.0981831213</v>
      </c>
      <c r="X33" s="241">
        <f t="shared" si="8"/>
        <v>387316.31404226052</v>
      </c>
      <c r="Y33" s="248">
        <f>IF(A33&lt;&gt;"",SUM(X$15:X33),"")</f>
        <v>9268361.1558427233</v>
      </c>
      <c r="Z33" s="249">
        <f>IF(A33&lt;&gt;"",LCC0!Y33-Y33,"")</f>
        <v>452373.6269821655</v>
      </c>
      <c r="AA33" s="312" t="str">
        <f>IF(A33&lt;&gt;"",IF(Z33&gt;0,IF(SUM(AA$16:AA32)=0,A32+(-Z32)/(Z33-Z32),""),""),"")</f>
        <v/>
      </c>
      <c r="AB33" s="198"/>
      <c r="AC33" s="251">
        <f t="shared" si="9"/>
        <v>659380.0981831213</v>
      </c>
      <c r="AE33" s="198"/>
    </row>
    <row r="34" spans="1:31" x14ac:dyDescent="0.2">
      <c r="A34" s="176">
        <f t="shared" si="13"/>
        <v>19</v>
      </c>
      <c r="B34" s="56"/>
      <c r="C34" s="51">
        <v>0</v>
      </c>
      <c r="D34" s="252">
        <f t="shared" si="10"/>
        <v>0</v>
      </c>
      <c r="E34" s="56"/>
      <c r="F34" s="51">
        <v>0</v>
      </c>
      <c r="G34" s="241">
        <f t="shared" si="0"/>
        <v>0</v>
      </c>
      <c r="H34" s="242">
        <f>IF($A34&lt;=$N$4,H$15*'General Data'!$S26,"")</f>
        <v>621850</v>
      </c>
      <c r="I34" s="243">
        <f>IF(A34&lt;&gt;"",IF(I$15="",VLOOKUP(A34,'DOE Fuel Esc Rates'!$T$9:$W$38,3,TRUE),I$15),"")</f>
        <v>1.2399256044637319E-3</v>
      </c>
      <c r="J34" s="243">
        <f>((1+I34)*(1+'General Data'!$M$25))-1</f>
        <v>2.2411655300680344E-3</v>
      </c>
      <c r="K34" s="253">
        <f t="shared" si="11"/>
        <v>634220.23997473926</v>
      </c>
      <c r="L34" s="253">
        <f t="shared" si="1"/>
        <v>354632.36577299557</v>
      </c>
      <c r="M34" s="241">
        <f t="shared" si="2"/>
        <v>361686.94077889965</v>
      </c>
      <c r="N34" s="242">
        <f>IF($A34&lt;=$N$4,N$15*'General Data'!$S26,"")</f>
        <v>20210</v>
      </c>
      <c r="O34" s="243">
        <f>IF(A34&lt;&gt;"",IF(O$15="",VLOOKUP(A34,'DOE Fuel Esc Rates'!$T$9:$W$38,4,TRUE),O$15),"")</f>
        <v>1.2280701754385781E-2</v>
      </c>
      <c r="P34" s="243">
        <f>((1+O34)*(1+'General Data'!$M$25))-1</f>
        <v>1.3292982456140079E-2</v>
      </c>
      <c r="Q34" s="253">
        <f t="shared" si="12"/>
        <v>26263.896396396402</v>
      </c>
      <c r="R34" s="253">
        <f t="shared" si="3"/>
        <v>11525.480601869005</v>
      </c>
      <c r="S34" s="241">
        <f t="shared" si="4"/>
        <v>14977.933124500938</v>
      </c>
      <c r="T34" s="242">
        <f t="shared" si="5"/>
        <v>0</v>
      </c>
      <c r="U34" s="245">
        <f t="shared" si="6"/>
        <v>0</v>
      </c>
      <c r="V34" s="246">
        <f>IF($A34&lt;=$N$4,VLOOKUP(A34,'DOE Fuel Esc Rates'!$T$9:$W$38,2,TRUE),"")</f>
        <v>2033</v>
      </c>
      <c r="W34" s="247">
        <f t="shared" si="7"/>
        <v>660484.13637113571</v>
      </c>
      <c r="X34" s="241">
        <f t="shared" si="8"/>
        <v>376664.87390340061</v>
      </c>
      <c r="Y34" s="248">
        <f>IF(A34&lt;&gt;"",SUM(X$15:X34),"")</f>
        <v>9645026.0297461245</v>
      </c>
      <c r="Z34" s="249">
        <f>IF(A34&lt;&gt;"",LCC0!Y34-Y34,"")</f>
        <v>476203.71219829842</v>
      </c>
      <c r="AA34" s="312" t="str">
        <f>IF(A34&lt;&gt;"",IF(Z34&gt;0,IF(SUM(AA$16:AA33)=0,A33+(-Z33)/(Z34-Z33),""),""),"")</f>
        <v/>
      </c>
      <c r="AB34" s="198"/>
      <c r="AC34" s="251">
        <f t="shared" si="9"/>
        <v>660484.13637113571</v>
      </c>
      <c r="AE34" s="198"/>
    </row>
    <row r="35" spans="1:31" x14ac:dyDescent="0.2">
      <c r="A35" s="176">
        <f t="shared" si="13"/>
        <v>20</v>
      </c>
      <c r="B35" s="56"/>
      <c r="C35" s="51">
        <v>0</v>
      </c>
      <c r="D35" s="252">
        <f t="shared" si="10"/>
        <v>0</v>
      </c>
      <c r="E35" s="56" t="s">
        <v>50</v>
      </c>
      <c r="F35" s="51">
        <v>0</v>
      </c>
      <c r="G35" s="241">
        <f t="shared" si="0"/>
        <v>0</v>
      </c>
      <c r="H35" s="242">
        <f>IF($A35&lt;=$N$4,H$15*'General Data'!$S27,"")</f>
        <v>621850</v>
      </c>
      <c r="I35" s="243">
        <f>IF(A35&lt;&gt;"",IF(I$15="",VLOOKUP(A35,'DOE Fuel Esc Rates'!$T$9:$W$38,3,TRUE),I$15),"")</f>
        <v>2.1671826625386803E-3</v>
      </c>
      <c r="J35" s="243">
        <f>((1+I35)*(1+'General Data'!$M$25))-1</f>
        <v>3.1693498452010083E-3</v>
      </c>
      <c r="K35" s="253">
        <f t="shared" si="11"/>
        <v>635594.7110830436</v>
      </c>
      <c r="L35" s="253">
        <f t="shared" si="1"/>
        <v>344303.2677407724</v>
      </c>
      <c r="M35" s="241">
        <f t="shared" si="2"/>
        <v>351913.38101574982</v>
      </c>
      <c r="N35" s="242">
        <f>IF($A35&lt;=$N$4,N$15*'General Data'!$S27,"")</f>
        <v>20210</v>
      </c>
      <c r="O35" s="243">
        <f>IF(A35&lt;&gt;"",IF(O$15="",VLOOKUP(A35,'DOE Fuel Esc Rates'!$T$9:$W$38,4,TRUE),O$15),"")</f>
        <v>1.7331022530329365E-2</v>
      </c>
      <c r="P35" s="243">
        <f>((1+O35)*(1+'General Data'!$M$25))-1</f>
        <v>1.8348353552859686E-2</v>
      </c>
      <c r="Q35" s="253">
        <f t="shared" si="12"/>
        <v>26719.076576576583</v>
      </c>
      <c r="R35" s="253">
        <f t="shared" si="3"/>
        <v>11189.78699210583</v>
      </c>
      <c r="S35" s="241">
        <f t="shared" si="4"/>
        <v>14793.704874698476</v>
      </c>
      <c r="T35" s="242">
        <f t="shared" si="5"/>
        <v>0</v>
      </c>
      <c r="U35" s="245">
        <f t="shared" si="6"/>
        <v>0</v>
      </c>
      <c r="V35" s="246">
        <f>IF($A35&lt;=$N$4,VLOOKUP(A35,'DOE Fuel Esc Rates'!$T$9:$W$38,2,TRUE),"")</f>
        <v>2034</v>
      </c>
      <c r="W35" s="247">
        <f t="shared" si="7"/>
        <v>662313.78765962017</v>
      </c>
      <c r="X35" s="241">
        <f t="shared" si="8"/>
        <v>366707.0858904483</v>
      </c>
      <c r="Y35" s="248">
        <f>IF(A35&lt;&gt;"",SUM(X$15:X35),"")</f>
        <v>10011733.115636572</v>
      </c>
      <c r="Z35" s="249">
        <f>IF(A35&lt;&gt;"",LCC0!Y35-Y35,"")</f>
        <v>499445.61152068526</v>
      </c>
      <c r="AA35" s="312" t="str">
        <f>IF(A35&lt;&gt;"",IF(Z35&gt;0,IF(SUM(AA$16:AA34)=0,A34+(-Z34)/(Z35-Z34),""),""),"")</f>
        <v/>
      </c>
      <c r="AB35" s="198"/>
      <c r="AC35" s="251">
        <f t="shared" si="9"/>
        <v>662313.78765962017</v>
      </c>
      <c r="AE35" s="198"/>
    </row>
    <row r="36" spans="1:31" x14ac:dyDescent="0.2">
      <c r="A36" s="176">
        <f t="shared" si="13"/>
        <v>21</v>
      </c>
      <c r="B36" s="56"/>
      <c r="C36" s="51">
        <v>0</v>
      </c>
      <c r="D36" s="252">
        <f t="shared" si="10"/>
        <v>0</v>
      </c>
      <c r="E36" s="56"/>
      <c r="F36" s="51">
        <v>0</v>
      </c>
      <c r="G36" s="241">
        <f t="shared" si="0"/>
        <v>0</v>
      </c>
      <c r="H36" s="242">
        <f>IF($A36&lt;=$N$4,H$15*'General Data'!$S28,"")</f>
        <v>621850</v>
      </c>
      <c r="I36" s="243">
        <f>IF(A36&lt;&gt;"",IF(I$15="",VLOOKUP(A36,'DOE Fuel Esc Rates'!$T$9:$W$38,3,TRUE),I$15),"")</f>
        <v>2.780352177942591E-3</v>
      </c>
      <c r="J36" s="243">
        <f>((1+I36)*(1+'General Data'!$M$25))-1</f>
        <v>3.7831325301205254E-3</v>
      </c>
      <c r="K36" s="253">
        <f t="shared" si="11"/>
        <v>637361.88822229218</v>
      </c>
      <c r="L36" s="253">
        <f t="shared" si="1"/>
        <v>334275.01722405094</v>
      </c>
      <c r="M36" s="241">
        <f t="shared" si="2"/>
        <v>342613.42150592641</v>
      </c>
      <c r="N36" s="242">
        <f>IF($A36&lt;=$N$4,N$15*'General Data'!$S28,"")</f>
        <v>20210</v>
      </c>
      <c r="O36" s="243">
        <f>IF(A36&lt;&gt;"",IF(O$15="",VLOOKUP(A36,'DOE Fuel Esc Rates'!$T$9:$W$38,4,TRUE),O$15),"")</f>
        <v>1.7035775127768327E-2</v>
      </c>
      <c r="P36" s="243">
        <f>((1+O36)*(1+'General Data'!$M$25))-1</f>
        <v>1.8052810902895899E-2</v>
      </c>
      <c r="Q36" s="253">
        <f t="shared" si="12"/>
        <v>27174.256756756764</v>
      </c>
      <c r="R36" s="253">
        <f t="shared" si="3"/>
        <v>10863.870866122166</v>
      </c>
      <c r="S36" s="241">
        <f t="shared" si="4"/>
        <v>14607.502042961565</v>
      </c>
      <c r="T36" s="242">
        <f t="shared" si="5"/>
        <v>0</v>
      </c>
      <c r="U36" s="245">
        <f t="shared" si="6"/>
        <v>0</v>
      </c>
      <c r="V36" s="246">
        <f>IF($A36&lt;=$N$4,VLOOKUP(A36,'DOE Fuel Esc Rates'!$T$9:$W$38,2,TRUE),"")</f>
        <v>2035</v>
      </c>
      <c r="W36" s="247">
        <f t="shared" si="7"/>
        <v>664536.14497904899</v>
      </c>
      <c r="X36" s="241">
        <f t="shared" si="8"/>
        <v>357220.92354888795</v>
      </c>
      <c r="Y36" s="248">
        <f>IF(A36&lt;&gt;"",SUM(X$15:X36),"")</f>
        <v>10368954.039185461</v>
      </c>
      <c r="Z36" s="249">
        <f>IF(A36&lt;&gt;"",LCC0!Y36-Y36,"")</f>
        <v>522125.07038274407</v>
      </c>
      <c r="AA36" s="312" t="str">
        <f>IF(A36&lt;&gt;"",IF(Z36&gt;0,IF(SUM(AA$16:AA35)=0,A35+(-Z35)/(Z36-Z35),""),""),"")</f>
        <v/>
      </c>
      <c r="AB36" s="198"/>
      <c r="AC36" s="251">
        <f t="shared" si="9"/>
        <v>664536.14497904899</v>
      </c>
      <c r="AE36" s="198"/>
    </row>
    <row r="37" spans="1:31" x14ac:dyDescent="0.2">
      <c r="A37" s="176">
        <f t="shared" si="13"/>
        <v>22</v>
      </c>
      <c r="B37" s="56"/>
      <c r="C37" s="51">
        <v>0</v>
      </c>
      <c r="D37" s="252">
        <f t="shared" si="10"/>
        <v>0</v>
      </c>
      <c r="E37" s="56"/>
      <c r="F37" s="51">
        <v>0</v>
      </c>
      <c r="G37" s="241">
        <f t="shared" si="0"/>
        <v>0</v>
      </c>
      <c r="H37" s="242">
        <f>IF($A37&lt;=$N$4,H$15*'General Data'!$S29,"")</f>
        <v>621850</v>
      </c>
      <c r="I37" s="243">
        <f>IF(A37&lt;&gt;"",IF(I$15="",VLOOKUP(A37,'DOE Fuel Esc Rates'!$T$9:$W$38,3,TRUE),I$15),"")</f>
        <v>4.6210720887245316E-3</v>
      </c>
      <c r="J37" s="243">
        <f>((1+I37)*(1+'General Data'!$M$25))-1</f>
        <v>5.6256931608131833E-3</v>
      </c>
      <c r="K37" s="253">
        <f t="shared" si="11"/>
        <v>640307.18345437304</v>
      </c>
      <c r="L37" s="253">
        <f t="shared" si="1"/>
        <v>324538.85167383583</v>
      </c>
      <c r="M37" s="241">
        <f t="shared" si="2"/>
        <v>334171.51730608725</v>
      </c>
      <c r="N37" s="242">
        <f>IF($A37&lt;=$N$4,N$15*'General Data'!$S29,"")</f>
        <v>20210</v>
      </c>
      <c r="O37" s="243">
        <f>IF(A37&lt;&gt;"",IF(O$15="",VLOOKUP(A37,'DOE Fuel Esc Rates'!$T$9:$W$38,4,TRUE),O$15),"")</f>
        <v>1.0050251256281451E-2</v>
      </c>
      <c r="P37" s="243">
        <f>((1+O37)*(1+'General Data'!$M$25))-1</f>
        <v>1.1060301507537673E-2</v>
      </c>
      <c r="Q37" s="253">
        <f t="shared" si="12"/>
        <v>27447.364864864874</v>
      </c>
      <c r="R37" s="253">
        <f t="shared" si="3"/>
        <v>10547.447442837054</v>
      </c>
      <c r="S37" s="241">
        <f t="shared" si="4"/>
        <v>14324.573891961138</v>
      </c>
      <c r="T37" s="242">
        <f t="shared" si="5"/>
        <v>0</v>
      </c>
      <c r="U37" s="245">
        <f t="shared" si="6"/>
        <v>0</v>
      </c>
      <c r="V37" s="246">
        <f>IF($A37&lt;=$N$4,VLOOKUP(A37,'DOE Fuel Esc Rates'!$T$9:$W$38,2,TRUE),"")</f>
        <v>2036</v>
      </c>
      <c r="W37" s="247">
        <f t="shared" si="7"/>
        <v>667754.54831923789</v>
      </c>
      <c r="X37" s="241">
        <f t="shared" si="8"/>
        <v>348496.09119804838</v>
      </c>
      <c r="Y37" s="248">
        <f>IF(A37&lt;&gt;"",SUM(X$15:X37),"")</f>
        <v>10717450.130383508</v>
      </c>
      <c r="Z37" s="249">
        <f>IF(A37&lt;&gt;"",LCC0!Y37-Y37,"")</f>
        <v>544265.18164540268</v>
      </c>
      <c r="AA37" s="312" t="str">
        <f>IF(A37&lt;&gt;"",IF(Z37&gt;0,IF(SUM(AA$16:AA36)=0,A36+(-Z36)/(Z37-Z36),""),""),"")</f>
        <v/>
      </c>
      <c r="AB37" s="198"/>
      <c r="AC37" s="251">
        <f t="shared" si="9"/>
        <v>667754.54831923789</v>
      </c>
      <c r="AE37" s="198"/>
    </row>
    <row r="38" spans="1:31" x14ac:dyDescent="0.2">
      <c r="A38" s="176">
        <f t="shared" si="13"/>
        <v>23</v>
      </c>
      <c r="B38" s="56"/>
      <c r="C38" s="51">
        <v>0</v>
      </c>
      <c r="D38" s="252">
        <f t="shared" si="10"/>
        <v>0</v>
      </c>
      <c r="E38" s="56"/>
      <c r="F38" s="51">
        <v>0</v>
      </c>
      <c r="G38" s="241">
        <f t="shared" si="0"/>
        <v>0</v>
      </c>
      <c r="H38" s="242">
        <f>IF($A38&lt;=$N$4,H$15*'General Data'!$S30,"")</f>
        <v>621850</v>
      </c>
      <c r="I38" s="243">
        <f>IF(A38&lt;&gt;"",IF(I$15="",VLOOKUP(A38,'DOE Fuel Esc Rates'!$T$9:$W$38,3,TRUE),I$15),"")</f>
        <v>4.9064704078505272E-3</v>
      </c>
      <c r="J38" s="243">
        <f>((1+I38)*(1+'General Data'!$M$25))-1</f>
        <v>5.9113768782581566E-3</v>
      </c>
      <c r="K38" s="253">
        <f t="shared" si="11"/>
        <v>643448.83170192607</v>
      </c>
      <c r="L38" s="253">
        <f t="shared" si="1"/>
        <v>315086.2637610056</v>
      </c>
      <c r="M38" s="241">
        <f t="shared" si="2"/>
        <v>326030.21356009325</v>
      </c>
      <c r="N38" s="242">
        <f>IF($A38&lt;=$N$4,N$15*'General Data'!$S30,"")</f>
        <v>20210</v>
      </c>
      <c r="O38" s="243">
        <f>IF(A38&lt;&gt;"",IF(O$15="",VLOOKUP(A38,'DOE Fuel Esc Rates'!$T$9:$W$38,4,TRUE),O$15),"")</f>
        <v>1.8242122719734466E-2</v>
      </c>
      <c r="P38" s="243">
        <f>((1+O38)*(1+'General Data'!$M$25))-1</f>
        <v>1.9260364842454081E-2</v>
      </c>
      <c r="Q38" s="253">
        <f t="shared" si="12"/>
        <v>27948.063063063066</v>
      </c>
      <c r="R38" s="253">
        <f t="shared" si="3"/>
        <v>10240.240235764129</v>
      </c>
      <c r="S38" s="241">
        <f t="shared" si="4"/>
        <v>14161.052938646792</v>
      </c>
      <c r="T38" s="242">
        <f t="shared" si="5"/>
        <v>0</v>
      </c>
      <c r="U38" s="245">
        <f t="shared" si="6"/>
        <v>0</v>
      </c>
      <c r="V38" s="246">
        <f>IF($A38&lt;=$N$4,VLOOKUP(A38,'DOE Fuel Esc Rates'!$T$9:$W$38,2,TRUE),"")</f>
        <v>2037</v>
      </c>
      <c r="W38" s="247">
        <f t="shared" si="7"/>
        <v>671396.89476498915</v>
      </c>
      <c r="X38" s="241">
        <f t="shared" si="8"/>
        <v>340191.26649874006</v>
      </c>
      <c r="Y38" s="248">
        <f>IF(A38&lt;&gt;"",SUM(X$15:X38),"")</f>
        <v>11057641.396882249</v>
      </c>
      <c r="Z38" s="249">
        <f>IF(A38&lt;&gt;"",LCC0!Y38-Y38,"")</f>
        <v>565912.79469887167</v>
      </c>
      <c r="AA38" s="312" t="str">
        <f>IF(A38&lt;&gt;"",IF(Z38&gt;0,IF(SUM(AA$16:AA37)=0,A37+(-Z37)/(Z38-Z37),""),""),"")</f>
        <v/>
      </c>
      <c r="AB38" s="198"/>
      <c r="AC38" s="251">
        <f t="shared" si="9"/>
        <v>671396.89476498915</v>
      </c>
      <c r="AE38" s="198"/>
    </row>
    <row r="39" spans="1:31" x14ac:dyDescent="0.2">
      <c r="A39" s="176">
        <f t="shared" si="13"/>
        <v>24</v>
      </c>
      <c r="B39" s="56"/>
      <c r="C39" s="51">
        <v>0</v>
      </c>
      <c r="D39" s="252">
        <f t="shared" si="10"/>
        <v>0</v>
      </c>
      <c r="E39" s="56"/>
      <c r="F39" s="51">
        <v>0</v>
      </c>
      <c r="G39" s="241">
        <f t="shared" si="0"/>
        <v>0</v>
      </c>
      <c r="H39" s="242">
        <f>IF($A39&lt;=$N$4,H$15*'General Data'!$S31,"")</f>
        <v>621850</v>
      </c>
      <c r="I39" s="243">
        <f>IF(A39&lt;&gt;"",IF(I$15="",VLOOKUP(A39,'DOE Fuel Esc Rates'!$T$9:$W$38,3,TRUE),I$15),"")</f>
        <v>4.8825144949649069E-3</v>
      </c>
      <c r="J39" s="243">
        <f>((1+I39)*(1+'General Data'!$M$25))-1</f>
        <v>5.8873970094597272E-3</v>
      </c>
      <c r="K39" s="253">
        <f t="shared" si="11"/>
        <v>646590.47994947899</v>
      </c>
      <c r="L39" s="253">
        <f t="shared" si="1"/>
        <v>305908.99394272396</v>
      </c>
      <c r="M39" s="241">
        <f t="shared" si="2"/>
        <v>318079.67068310385</v>
      </c>
      <c r="N39" s="242">
        <f>IF($A39&lt;=$N$4,N$15*'General Data'!$S31,"")</f>
        <v>20210</v>
      </c>
      <c r="O39" s="243">
        <f>IF(A39&lt;&gt;"",IF(O$15="",VLOOKUP(A39,'DOE Fuel Esc Rates'!$T$9:$W$38,4,TRUE),O$15),"")</f>
        <v>2.6058631921824116E-2</v>
      </c>
      <c r="P39" s="243">
        <f>((1+O39)*(1+'General Data'!$M$25))-1</f>
        <v>2.7084690553745849E-2</v>
      </c>
      <c r="Q39" s="253">
        <f t="shared" si="12"/>
        <v>28676.351351351354</v>
      </c>
      <c r="R39" s="253">
        <f t="shared" si="3"/>
        <v>9941.9808114214866</v>
      </c>
      <c r="S39" s="241">
        <f t="shared" si="4"/>
        <v>14106.864664854813</v>
      </c>
      <c r="T39" s="242">
        <f t="shared" si="5"/>
        <v>0</v>
      </c>
      <c r="U39" s="245">
        <f t="shared" si="6"/>
        <v>0</v>
      </c>
      <c r="V39" s="246">
        <f>IF($A39&lt;=$N$4,VLOOKUP(A39,'DOE Fuel Esc Rates'!$T$9:$W$38,2,TRUE),"")</f>
        <v>2038</v>
      </c>
      <c r="W39" s="247">
        <f t="shared" si="7"/>
        <v>675266.83130083035</v>
      </c>
      <c r="X39" s="241">
        <f t="shared" si="8"/>
        <v>332186.53534795868</v>
      </c>
      <c r="Y39" s="248">
        <f>IF(A39&lt;&gt;"",SUM(X$15:X39),"")</f>
        <v>11389827.932230208</v>
      </c>
      <c r="Z39" s="249">
        <f>IF(A39&lt;&gt;"",LCC0!Y39-Y39,"")</f>
        <v>587106.12484776787</v>
      </c>
      <c r="AA39" s="312" t="str">
        <f>IF(A39&lt;&gt;"",IF(Z39&gt;0,IF(SUM(AA$16:AA38)=0,A38+(-Z38)/(Z39-Z38),""),""),"")</f>
        <v/>
      </c>
      <c r="AB39" s="198"/>
      <c r="AC39" s="251">
        <f t="shared" si="9"/>
        <v>675266.83130083035</v>
      </c>
      <c r="AE39" s="198"/>
    </row>
    <row r="40" spans="1:31" x14ac:dyDescent="0.2">
      <c r="A40" s="176">
        <f t="shared" si="13"/>
        <v>25</v>
      </c>
      <c r="B40" s="56" t="s">
        <v>52</v>
      </c>
      <c r="C40" s="51">
        <v>0</v>
      </c>
      <c r="D40" s="252">
        <f t="shared" si="10"/>
        <v>0</v>
      </c>
      <c r="E40" s="56"/>
      <c r="F40" s="51">
        <v>0</v>
      </c>
      <c r="G40" s="241">
        <f t="shared" si="0"/>
        <v>0</v>
      </c>
      <c r="H40" s="242">
        <f>IF($A40&lt;=$N$4,H$15*'General Data'!$S32,"")</f>
        <v>621850</v>
      </c>
      <c r="I40" s="243">
        <f>IF(A40&lt;&gt;"",IF(I$15="",VLOOKUP(A40,'DOE Fuel Esc Rates'!$T$9:$W$38,3,TRUE),I$15),"")</f>
        <v>5.1624658366231646E-3</v>
      </c>
      <c r="J40" s="243">
        <f>((1+I40)*(1+'General Data'!$M$25))-1</f>
        <v>6.167628302459649E-3</v>
      </c>
      <c r="K40" s="253">
        <f t="shared" si="11"/>
        <v>649928.48121250398</v>
      </c>
      <c r="L40" s="253">
        <f t="shared" si="1"/>
        <v>296999.02324536309</v>
      </c>
      <c r="M40" s="241">
        <f t="shared" si="2"/>
        <v>310409.46224886383</v>
      </c>
      <c r="N40" s="242">
        <f>IF($A40&lt;=$N$4,N$15*'General Data'!$S32,"")</f>
        <v>20210</v>
      </c>
      <c r="O40" s="243">
        <f>IF(A40&lt;&gt;"",IF(O$15="",VLOOKUP(A40,'DOE Fuel Esc Rates'!$T$9:$W$38,4,TRUE),O$15),"")</f>
        <v>2.4603174603174738E-2</v>
      </c>
      <c r="P40" s="243">
        <f>((1+O40)*(1+'General Data'!$M$25))-1</f>
        <v>2.5627777777777805E-2</v>
      </c>
      <c r="Q40" s="253">
        <f t="shared" si="12"/>
        <v>29381.880630630636</v>
      </c>
      <c r="R40" s="253">
        <f t="shared" si="3"/>
        <v>9652.4085547781415</v>
      </c>
      <c r="S40" s="241">
        <f t="shared" si="4"/>
        <v>14032.949824570476</v>
      </c>
      <c r="T40" s="242">
        <f t="shared" si="5"/>
        <v>0</v>
      </c>
      <c r="U40" s="245">
        <f t="shared" si="6"/>
        <v>0</v>
      </c>
      <c r="V40" s="246">
        <f>IF($A40&lt;=$N$4,VLOOKUP(A40,'DOE Fuel Esc Rates'!$T$9:$W$38,2,TRUE),"")</f>
        <v>2039</v>
      </c>
      <c r="W40" s="247">
        <f t="shared" si="7"/>
        <v>679310.36184313463</v>
      </c>
      <c r="X40" s="241">
        <f t="shared" si="8"/>
        <v>324442.41207343433</v>
      </c>
      <c r="Y40" s="248">
        <f>IF(A40&lt;&gt;"",SUM(X$15:X40),"")</f>
        <v>11714270.344303641</v>
      </c>
      <c r="Z40" s="249">
        <f>IF(A40&lt;&gt;"",LCC0!Y40-Y40,"")</f>
        <v>607855.71914120018</v>
      </c>
      <c r="AA40" s="312" t="str">
        <f>IF(A40&lt;&gt;"",IF(Z40&gt;0,IF(SUM(AA$16:AA39)=0,A39+(-Z39)/(Z40-Z39),""),""),"")</f>
        <v/>
      </c>
      <c r="AB40" s="198"/>
      <c r="AC40" s="251">
        <f t="shared" si="9"/>
        <v>679310.36184313463</v>
      </c>
      <c r="AE40" s="198"/>
    </row>
    <row r="41" spans="1:31" s="124" customFormat="1" ht="11.25" customHeight="1" thickBot="1" x14ac:dyDescent="0.25">
      <c r="A41" s="254"/>
      <c r="B41" s="255"/>
      <c r="C41" s="256"/>
      <c r="D41" s="257"/>
      <c r="E41" s="256"/>
      <c r="F41" s="256"/>
      <c r="G41" s="258"/>
      <c r="H41" s="259"/>
      <c r="I41" s="260"/>
      <c r="J41" s="260"/>
      <c r="K41" s="253"/>
      <c r="L41" s="253"/>
      <c r="M41" s="241"/>
      <c r="N41" s="261"/>
      <c r="O41" s="260"/>
      <c r="P41" s="260"/>
      <c r="Q41" s="260"/>
      <c r="R41" s="253"/>
      <c r="S41" s="241"/>
      <c r="T41" s="251"/>
      <c r="U41" s="258"/>
      <c r="V41" s="129"/>
      <c r="W41" s="129"/>
      <c r="X41" s="262"/>
      <c r="Y41" s="263"/>
      <c r="Z41" s="264"/>
      <c r="AA41" s="265"/>
    </row>
    <row r="42" spans="1:31" s="124" customFormat="1" ht="2.25" customHeight="1" x14ac:dyDescent="0.2">
      <c r="A42" s="266"/>
      <c r="B42" s="267"/>
      <c r="C42" s="267"/>
      <c r="D42" s="268"/>
      <c r="E42" s="267"/>
      <c r="F42" s="267"/>
      <c r="G42" s="269"/>
      <c r="H42" s="270"/>
      <c r="I42" s="271"/>
      <c r="J42" s="271"/>
      <c r="K42" s="271"/>
      <c r="L42" s="271"/>
      <c r="M42" s="272"/>
      <c r="N42" s="271"/>
      <c r="O42" s="271"/>
      <c r="P42" s="271"/>
      <c r="Q42" s="271"/>
      <c r="R42" s="271"/>
      <c r="S42" s="272"/>
      <c r="T42" s="273"/>
      <c r="U42" s="269"/>
      <c r="V42" s="273"/>
      <c r="W42" s="273"/>
      <c r="X42" s="269"/>
      <c r="Y42" s="274"/>
      <c r="Z42" s="273"/>
      <c r="AA42" s="275"/>
    </row>
    <row r="43" spans="1:31" s="289" customFormat="1" x14ac:dyDescent="0.2">
      <c r="A43" s="276"/>
      <c r="B43" s="277"/>
      <c r="C43" s="278">
        <f>SUM(C15:C40)</f>
        <v>169650</v>
      </c>
      <c r="D43" s="279">
        <f>+SUM(D15:D40)</f>
        <v>169650</v>
      </c>
      <c r="E43" s="278"/>
      <c r="F43" s="278">
        <f>SUM(F15:F40)</f>
        <v>0</v>
      </c>
      <c r="G43" s="280">
        <f>+SUM(G15:G40)</f>
        <v>0</v>
      </c>
      <c r="H43" s="281">
        <f>SUM(H16:H40)</f>
        <v>15546250</v>
      </c>
      <c r="I43" s="129"/>
      <c r="J43" s="129"/>
      <c r="K43" s="282">
        <f>SUM(K16:K40)</f>
        <v>15967427.218187556</v>
      </c>
      <c r="L43" s="282">
        <f>SUM(L16:L40)</f>
        <v>10828365.891821241</v>
      </c>
      <c r="M43" s="280">
        <f>+SUM(M16:M40)</f>
        <v>11121902.065165918</v>
      </c>
      <c r="N43" s="281">
        <f>SUM(N16:N40)</f>
        <v>505250</v>
      </c>
      <c r="O43" s="283"/>
      <c r="P43" s="129"/>
      <c r="Q43" s="282">
        <f>SUM(Q16:Q40)</f>
        <v>619522.98423423432</v>
      </c>
      <c r="R43" s="282">
        <f>SUM(R16:R40)</f>
        <v>351919.71484072879</v>
      </c>
      <c r="S43" s="280">
        <f>+SUM(S16:S40)</f>
        <v>422718.27913772414</v>
      </c>
      <c r="T43" s="281">
        <f>SUM(T16:T40)</f>
        <v>0</v>
      </c>
      <c r="U43" s="284">
        <f>+SUM(U16:U40)</f>
        <v>0</v>
      </c>
      <c r="V43" s="283"/>
      <c r="W43" s="285">
        <f>SUM(W15:W40)</f>
        <v>16756600.202421794</v>
      </c>
      <c r="X43" s="284">
        <f>+SUM(X15:X40)</f>
        <v>11714270.344303641</v>
      </c>
      <c r="Y43" s="286">
        <f>X43</f>
        <v>11714270.344303641</v>
      </c>
      <c r="Z43" s="287" t="s">
        <v>49</v>
      </c>
      <c r="AA43" s="313">
        <f>IF(SUM(AA16:AA40)&gt;0,SUM(AA16:AA40),"&gt;"&amp;T4)</f>
        <v>2.9991354284481759</v>
      </c>
      <c r="AC43" s="289">
        <f>+SUM(AC15:AC40)</f>
        <v>16586950.202421794</v>
      </c>
    </row>
    <row r="44" spans="1:31" s="124" customFormat="1" ht="5.25" customHeight="1" thickBot="1" x14ac:dyDescent="0.25">
      <c r="A44" s="290"/>
      <c r="B44" s="291"/>
      <c r="C44" s="291"/>
      <c r="D44" s="292"/>
      <c r="E44" s="291"/>
      <c r="F44" s="291"/>
      <c r="G44" s="293"/>
      <c r="H44" s="291"/>
      <c r="I44" s="294"/>
      <c r="J44" s="294"/>
      <c r="K44" s="294"/>
      <c r="L44" s="294"/>
      <c r="M44" s="293"/>
      <c r="N44" s="294"/>
      <c r="O44" s="294"/>
      <c r="P44" s="294"/>
      <c r="Q44" s="294"/>
      <c r="R44" s="294"/>
      <c r="S44" s="293"/>
      <c r="T44" s="294"/>
      <c r="U44" s="293"/>
      <c r="V44" s="294"/>
      <c r="W44" s="294"/>
      <c r="X44" s="293"/>
      <c r="Y44" s="295"/>
      <c r="Z44" s="294"/>
      <c r="AA44" s="293"/>
    </row>
    <row r="45" spans="1:31" s="124" customFormat="1" ht="6" customHeight="1" x14ac:dyDescent="0.2">
      <c r="A45" s="129"/>
      <c r="B45" s="296"/>
      <c r="C45" s="296"/>
      <c r="D45" s="296"/>
      <c r="E45" s="296"/>
      <c r="F45" s="74"/>
      <c r="G45" s="74"/>
      <c r="H45" s="296"/>
      <c r="I45" s="74"/>
      <c r="J45" s="74"/>
      <c r="K45" s="74"/>
      <c r="L45" s="74"/>
      <c r="M45" s="74"/>
      <c r="N45" s="74"/>
      <c r="O45" s="74"/>
      <c r="P45" s="74"/>
      <c r="Q45" s="74"/>
      <c r="R45" s="74"/>
      <c r="S45" s="74"/>
      <c r="T45" s="74"/>
      <c r="U45" s="74"/>
      <c r="V45" s="74"/>
      <c r="W45" s="74"/>
      <c r="X45" s="74"/>
      <c r="AA45" s="141"/>
    </row>
    <row r="46" spans="1:31" x14ac:dyDescent="0.2">
      <c r="B46" s="297" t="s">
        <v>53</v>
      </c>
      <c r="C46" s="298" t="s">
        <v>1</v>
      </c>
      <c r="I46" s="299"/>
      <c r="J46" s="299"/>
      <c r="M46" s="251"/>
      <c r="P46" s="299"/>
      <c r="S46" s="300"/>
      <c r="U46" s="301"/>
      <c r="X46" s="302"/>
    </row>
    <row r="47" spans="1:31" x14ac:dyDescent="0.2">
      <c r="C47" s="304" t="s">
        <v>201</v>
      </c>
      <c r="M47" s="251"/>
      <c r="X47" s="302"/>
    </row>
    <row r="48" spans="1:31" x14ac:dyDescent="0.2">
      <c r="L48" s="305"/>
      <c r="X48" s="302"/>
    </row>
    <row r="49" spans="8:24" x14ac:dyDescent="0.2">
      <c r="H49" s="306"/>
      <c r="L49" s="305"/>
      <c r="M49" s="251"/>
    </row>
    <row r="50" spans="8:24" x14ac:dyDescent="0.2">
      <c r="H50" s="255"/>
      <c r="M50" s="251"/>
      <c r="X50" s="307"/>
    </row>
    <row r="51" spans="8:24" x14ac:dyDescent="0.2">
      <c r="M51" s="308"/>
      <c r="X51" s="309"/>
    </row>
    <row r="52" spans="8:24" x14ac:dyDescent="0.2">
      <c r="H52" s="306"/>
      <c r="M52" s="308"/>
    </row>
    <row r="53" spans="8:24" x14ac:dyDescent="0.2">
      <c r="H53" s="306"/>
    </row>
    <row r="54" spans="8:24" x14ac:dyDescent="0.2">
      <c r="H54" s="310"/>
    </row>
    <row r="56" spans="8:24" x14ac:dyDescent="0.2">
      <c r="H56" s="311"/>
      <c r="M56" s="307"/>
    </row>
  </sheetData>
  <phoneticPr fontId="0" type="noConversion"/>
  <printOptions horizontalCentered="1"/>
  <pageMargins left="0.35" right="0.35" top="0.75" bottom="0.75" header="0.5" footer="0.5"/>
  <pageSetup paperSize="4" scale="70" orientation="landscape" horizontalDpi="4294967292"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E56"/>
  <sheetViews>
    <sheetView zoomScale="80" workbookViewId="0">
      <pane xSplit="1" topLeftCell="B1" activePane="topRight" state="frozenSplit"/>
      <selection activeCell="B4" sqref="B4"/>
      <selection pane="topRight" activeCell="B4" sqref="B4"/>
    </sheetView>
  </sheetViews>
  <sheetFormatPr defaultRowHeight="12.75" x14ac:dyDescent="0.2"/>
  <cols>
    <col min="1" max="1" width="4.5703125" style="129" customWidth="1"/>
    <col min="2" max="3" width="12" style="296" customWidth="1"/>
    <col min="4" max="5" width="10.7109375" style="296" customWidth="1"/>
    <col min="6" max="7" width="11.140625" style="74" customWidth="1"/>
    <col min="8" max="8" width="12.5703125" style="296" customWidth="1"/>
    <col min="9" max="9" width="10.28515625" style="74" customWidth="1"/>
    <col min="10" max="10" width="10.28515625" style="74" hidden="1" customWidth="1"/>
    <col min="11" max="12" width="13.42578125" style="74" hidden="1" customWidth="1"/>
    <col min="13" max="13" width="14.7109375" style="74" customWidth="1"/>
    <col min="14" max="14" width="10.5703125" style="74" customWidth="1"/>
    <col min="15" max="15" width="11" style="74" customWidth="1"/>
    <col min="16" max="16" width="10.28515625" style="74" hidden="1" customWidth="1"/>
    <col min="17" max="17" width="11" style="74" hidden="1" customWidth="1"/>
    <col min="18" max="18" width="12.140625" style="74" hidden="1" customWidth="1"/>
    <col min="19" max="19" width="12" style="74" customWidth="1"/>
    <col min="20" max="20" width="11.28515625" style="74" customWidth="1"/>
    <col min="21" max="21" width="12.7109375" style="74" customWidth="1"/>
    <col min="22" max="22" width="6" style="74" customWidth="1"/>
    <col min="23" max="23" width="15.28515625" style="74" hidden="1" customWidth="1"/>
    <col min="24" max="24" width="16" style="74" customWidth="1"/>
    <col min="25" max="25" width="14.5703125" style="74" customWidth="1"/>
    <col min="26" max="26" width="14.42578125" style="74" customWidth="1"/>
    <col min="27" max="27" width="11.85546875" style="303" customWidth="1"/>
    <col min="28" max="28" width="9.140625" style="74"/>
    <col min="29" max="29" width="10" style="74" hidden="1" customWidth="1"/>
    <col min="30" max="16384" width="9.140625" style="74"/>
  </cols>
  <sheetData>
    <row r="1" spans="1:31" s="124" customFormat="1" ht="13.5" thickBot="1" x14ac:dyDescent="0.25">
      <c r="A1" s="139"/>
      <c r="B1" s="140"/>
      <c r="C1" s="140"/>
      <c r="D1" s="140"/>
      <c r="E1" s="140"/>
      <c r="H1" s="140"/>
      <c r="AA1" s="141"/>
    </row>
    <row r="2" spans="1:31" ht="5.25" customHeight="1" thickTop="1" x14ac:dyDescent="0.2">
      <c r="A2" s="142"/>
      <c r="B2" s="143"/>
      <c r="C2" s="143"/>
      <c r="D2" s="143"/>
      <c r="E2" s="143"/>
      <c r="F2" s="143"/>
      <c r="G2" s="143"/>
      <c r="H2" s="144"/>
      <c r="I2" s="144"/>
      <c r="J2" s="144"/>
      <c r="K2" s="144"/>
      <c r="L2" s="144"/>
      <c r="M2" s="144"/>
      <c r="N2" s="144"/>
      <c r="O2" s="144"/>
      <c r="P2" s="144"/>
      <c r="Q2" s="144"/>
      <c r="R2" s="144"/>
      <c r="S2" s="144"/>
      <c r="T2" s="144"/>
      <c r="U2" s="144"/>
      <c r="V2" s="144"/>
      <c r="W2" s="144"/>
      <c r="X2" s="145"/>
      <c r="Y2" s="146"/>
      <c r="Z2" s="144"/>
      <c r="AA2" s="145"/>
    </row>
    <row r="3" spans="1:31" ht="15.75" x14ac:dyDescent="0.25">
      <c r="A3" s="147"/>
      <c r="B3" s="69" t="s">
        <v>240</v>
      </c>
      <c r="C3" s="69"/>
      <c r="D3" s="148"/>
      <c r="E3" s="148"/>
      <c r="G3" s="149" t="s">
        <v>190</v>
      </c>
      <c r="H3" s="150" t="str">
        <f>'General Data'!A12&amp;"/"&amp;'General Data'!H12</f>
        <v>4/2015</v>
      </c>
      <c r="M3" s="151" t="s">
        <v>193</v>
      </c>
      <c r="N3" s="152">
        <f>N4-H4</f>
        <v>25</v>
      </c>
      <c r="R3" s="153"/>
      <c r="S3" s="149" t="s">
        <v>11</v>
      </c>
      <c r="T3" s="154">
        <f>'General Data'!H10</f>
        <v>2015</v>
      </c>
      <c r="V3" s="149" t="s">
        <v>12</v>
      </c>
      <c r="W3" s="149"/>
      <c r="X3" s="155" t="str">
        <f>IF('General Data'!$H$21=1,"Northeast",IF('General Data'!$H$21=2,"Midwest",IF('General Data'!$H$21=3,"South",IF('General Data'!$H$21=4,"West",IF('General Data'!$H$21=5,"United States Average","error")))))</f>
        <v>West</v>
      </c>
      <c r="Y3" s="156"/>
      <c r="Z3" s="157"/>
      <c r="AA3" s="155"/>
    </row>
    <row r="4" spans="1:31" ht="15.75" x14ac:dyDescent="0.25">
      <c r="A4" s="147"/>
      <c r="B4" s="69" t="s">
        <v>241</v>
      </c>
      <c r="C4" s="69"/>
      <c r="D4" s="148"/>
      <c r="E4" s="148"/>
      <c r="G4" s="158" t="s">
        <v>195</v>
      </c>
      <c r="H4" s="159">
        <f>'General Data'!H13-'General Data'!H12</f>
        <v>0</v>
      </c>
      <c r="M4" s="151" t="s">
        <v>194</v>
      </c>
      <c r="N4" s="160">
        <f>'General Data'!$H$18</f>
        <v>25</v>
      </c>
      <c r="R4" s="153"/>
      <c r="S4" s="151" t="s">
        <v>255</v>
      </c>
      <c r="T4" s="161">
        <f>'General Data'!H15</f>
        <v>0.03</v>
      </c>
      <c r="V4" s="149" t="s">
        <v>13</v>
      </c>
      <c r="W4" s="149"/>
      <c r="X4" s="155" t="str">
        <f>IF('General Data'!$H$24=1,"Residential",IF('General Data'!$H$24=2,"Commercial",IF('General Data'!$H$24=3,"Industrial","error")))</f>
        <v>Commercial</v>
      </c>
      <c r="Y4" s="156"/>
      <c r="Z4" s="157"/>
      <c r="AA4" s="155"/>
    </row>
    <row r="5" spans="1:31" ht="17.25" customHeight="1" thickBot="1" x14ac:dyDescent="0.25">
      <c r="A5" s="162"/>
      <c r="B5" s="163"/>
      <c r="C5" s="163"/>
      <c r="D5" s="163"/>
      <c r="E5" s="163"/>
      <c r="F5" s="163"/>
      <c r="G5" s="163"/>
      <c r="H5" s="163"/>
      <c r="I5" s="164"/>
      <c r="J5" s="164"/>
      <c r="K5" s="164"/>
      <c r="L5" s="164"/>
      <c r="M5" s="164"/>
      <c r="N5" s="164"/>
      <c r="O5" s="164"/>
      <c r="P5" s="164"/>
      <c r="Q5" s="164"/>
      <c r="R5" s="164"/>
      <c r="S5" s="350" t="s">
        <v>254</v>
      </c>
      <c r="T5" s="351">
        <f>'General Data'!H16</f>
        <v>0.03</v>
      </c>
      <c r="U5" s="164"/>
      <c r="V5" s="164"/>
      <c r="W5" s="164"/>
      <c r="X5" s="165"/>
      <c r="Y5" s="166"/>
      <c r="Z5" s="164"/>
      <c r="AA5" s="165"/>
    </row>
    <row r="6" spans="1:31" ht="5.25" customHeight="1" thickTop="1" x14ac:dyDescent="0.2">
      <c r="A6" s="167"/>
      <c r="B6" s="168"/>
      <c r="C6" s="168"/>
      <c r="D6" s="168"/>
      <c r="E6" s="168"/>
      <c r="F6" s="169"/>
      <c r="G6" s="170"/>
      <c r="H6" s="171"/>
      <c r="I6" s="172"/>
      <c r="J6" s="172"/>
      <c r="K6" s="172"/>
      <c r="L6" s="173"/>
      <c r="M6" s="174"/>
      <c r="N6" s="172"/>
      <c r="O6" s="172"/>
      <c r="P6" s="172"/>
      <c r="Q6" s="172"/>
      <c r="R6" s="173"/>
      <c r="S6" s="174"/>
      <c r="T6" s="172"/>
      <c r="U6" s="170"/>
      <c r="X6" s="174"/>
      <c r="Y6" s="175"/>
      <c r="Z6" s="124"/>
      <c r="AA6" s="174"/>
    </row>
    <row r="7" spans="1:31" x14ac:dyDescent="0.2">
      <c r="A7" s="176"/>
      <c r="B7" s="177" t="s">
        <v>14</v>
      </c>
      <c r="C7" s="177"/>
      <c r="D7" s="177"/>
      <c r="E7" s="177"/>
      <c r="F7" s="178"/>
      <c r="G7" s="179"/>
      <c r="H7" s="180" t="s">
        <v>15</v>
      </c>
      <c r="I7" s="181"/>
      <c r="J7" s="181"/>
      <c r="K7" s="181"/>
      <c r="L7" s="182"/>
      <c r="M7" s="183"/>
      <c r="N7" s="180" t="str">
        <f>IF('General Data'!$H$27=1,"NATURAL GAS COSTS",IF('General Data'!$H$27=2,"LPG FUEL COSTS",IF('General Data'!$H$27=3,"DISTILATE FUEL OIL COSTS",IF('General Data'!$H$27=4,"RESIDUAL FUEL OIL COSTS",IF('General Data'!$H$27=5,"COAL COSTS",IF('General Data'!$H$27=0,"NO 2ND FUEL USED","error?"))))))</f>
        <v>NATURAL GAS COSTS</v>
      </c>
      <c r="O7" s="181"/>
      <c r="P7" s="181"/>
      <c r="Q7" s="181"/>
      <c r="R7" s="182"/>
      <c r="S7" s="183"/>
      <c r="T7" s="180" t="s">
        <v>16</v>
      </c>
      <c r="U7" s="179"/>
      <c r="V7" s="180" t="s">
        <v>17</v>
      </c>
      <c r="W7" s="180"/>
      <c r="X7" s="183"/>
      <c r="Y7" s="184" t="s">
        <v>151</v>
      </c>
      <c r="Z7" s="177"/>
      <c r="AA7" s="185"/>
    </row>
    <row r="8" spans="1:31" x14ac:dyDescent="0.2">
      <c r="A8" s="176"/>
      <c r="B8" s="177"/>
      <c r="C8" s="177"/>
      <c r="D8" s="177"/>
      <c r="E8" s="177"/>
      <c r="F8" s="178"/>
      <c r="G8" s="179"/>
      <c r="H8" s="180" t="s">
        <v>18</v>
      </c>
      <c r="I8" s="181"/>
      <c r="J8" s="181"/>
      <c r="K8" s="181"/>
      <c r="L8" s="182"/>
      <c r="M8" s="183"/>
      <c r="N8" s="180" t="s">
        <v>18</v>
      </c>
      <c r="O8" s="181"/>
      <c r="P8" s="181"/>
      <c r="Q8" s="181"/>
      <c r="R8" s="182"/>
      <c r="S8" s="183"/>
      <c r="T8" s="180" t="s">
        <v>19</v>
      </c>
      <c r="U8" s="179"/>
      <c r="V8" s="180" t="s">
        <v>18</v>
      </c>
      <c r="W8" s="180"/>
      <c r="X8" s="186"/>
      <c r="Y8" s="187" t="s">
        <v>20</v>
      </c>
      <c r="Z8" s="188" t="s">
        <v>21</v>
      </c>
      <c r="AA8" s="189" t="s">
        <v>54</v>
      </c>
      <c r="AC8" s="190" t="s">
        <v>61</v>
      </c>
    </row>
    <row r="9" spans="1:31" ht="6" customHeight="1" x14ac:dyDescent="0.2">
      <c r="A9" s="176"/>
      <c r="B9" s="177"/>
      <c r="C9" s="177"/>
      <c r="D9" s="177"/>
      <c r="E9" s="177"/>
      <c r="F9" s="178"/>
      <c r="G9" s="179"/>
      <c r="H9" s="180"/>
      <c r="I9" s="181"/>
      <c r="J9" s="181"/>
      <c r="K9" s="181"/>
      <c r="L9" s="182"/>
      <c r="M9" s="183"/>
      <c r="N9" s="180"/>
      <c r="O9" s="181"/>
      <c r="P9" s="181"/>
      <c r="Q9" s="181"/>
      <c r="R9" s="182"/>
      <c r="S9" s="183"/>
      <c r="T9" s="180"/>
      <c r="U9" s="179"/>
      <c r="V9" s="180"/>
      <c r="W9" s="180"/>
      <c r="X9" s="183"/>
      <c r="Y9" s="191"/>
      <c r="Z9" s="192"/>
      <c r="AA9" s="183"/>
      <c r="AC9" s="190"/>
    </row>
    <row r="10" spans="1:31" s="198" customFormat="1" x14ac:dyDescent="0.2">
      <c r="A10" s="176"/>
      <c r="B10" s="153"/>
      <c r="C10" s="193" t="s">
        <v>22</v>
      </c>
      <c r="D10" s="193"/>
      <c r="E10" s="193"/>
      <c r="F10" s="188" t="s">
        <v>23</v>
      </c>
      <c r="G10" s="170"/>
      <c r="H10" s="194" t="s">
        <v>24</v>
      </c>
      <c r="I10" s="194" t="str">
        <f>'DOE Fuel Esc Rates'!H8</f>
        <v>Electric</v>
      </c>
      <c r="J10" s="194" t="str">
        <f>I10</f>
        <v>Electric</v>
      </c>
      <c r="K10" s="194" t="s">
        <v>25</v>
      </c>
      <c r="L10" s="173" t="s">
        <v>26</v>
      </c>
      <c r="M10" s="195" t="s">
        <v>26</v>
      </c>
      <c r="N10" s="194" t="s">
        <v>24</v>
      </c>
      <c r="O10" s="194" t="str">
        <f>'DOE Fuel Esc Rates'!$W$5</f>
        <v>Nat Gas</v>
      </c>
      <c r="P10" s="194" t="str">
        <f>O10</f>
        <v>Nat Gas</v>
      </c>
      <c r="Q10" s="194" t="s">
        <v>25</v>
      </c>
      <c r="R10" s="173" t="s">
        <v>26</v>
      </c>
      <c r="S10" s="195" t="s">
        <v>26</v>
      </c>
      <c r="T10" s="194" t="s">
        <v>24</v>
      </c>
      <c r="U10" s="195" t="s">
        <v>26</v>
      </c>
      <c r="V10" s="172"/>
      <c r="W10" s="194" t="s">
        <v>173</v>
      </c>
      <c r="X10" s="195" t="s">
        <v>26</v>
      </c>
      <c r="Y10" s="196" t="s">
        <v>26</v>
      </c>
      <c r="Z10" s="197" t="s">
        <v>26</v>
      </c>
      <c r="AA10" s="195"/>
      <c r="AB10" s="74"/>
      <c r="AC10" s="190" t="s">
        <v>173</v>
      </c>
    </row>
    <row r="11" spans="1:31" s="198" customFormat="1" x14ac:dyDescent="0.2">
      <c r="A11" s="176"/>
      <c r="B11" s="199"/>
      <c r="C11" s="200" t="s">
        <v>27</v>
      </c>
      <c r="D11" s="201"/>
      <c r="E11" s="201"/>
      <c r="F11" s="200" t="s">
        <v>28</v>
      </c>
      <c r="G11" s="179"/>
      <c r="H11" s="194" t="s">
        <v>29</v>
      </c>
      <c r="I11" s="194" t="s">
        <v>30</v>
      </c>
      <c r="J11" s="194" t="s">
        <v>200</v>
      </c>
      <c r="K11" s="173" t="s">
        <v>31</v>
      </c>
      <c r="L11" s="173" t="s">
        <v>31</v>
      </c>
      <c r="M11" s="195" t="s">
        <v>32</v>
      </c>
      <c r="N11" s="194" t="s">
        <v>29</v>
      </c>
      <c r="O11" s="194" t="s">
        <v>30</v>
      </c>
      <c r="P11" s="194" t="s">
        <v>200</v>
      </c>
      <c r="Q11" s="173" t="s">
        <v>31</v>
      </c>
      <c r="R11" s="173" t="s">
        <v>31</v>
      </c>
      <c r="S11" s="195" t="str">
        <f>O10</f>
        <v>Nat Gas</v>
      </c>
      <c r="T11" s="194" t="s">
        <v>29</v>
      </c>
      <c r="U11" s="202" t="s">
        <v>29</v>
      </c>
      <c r="V11" s="172"/>
      <c r="W11" s="203" t="s">
        <v>34</v>
      </c>
      <c r="X11" s="202" t="s">
        <v>34</v>
      </c>
      <c r="Y11" s="204" t="s">
        <v>152</v>
      </c>
      <c r="Z11" s="203" t="s">
        <v>152</v>
      </c>
      <c r="AA11" s="202" t="s">
        <v>26</v>
      </c>
      <c r="AC11" s="190" t="s">
        <v>182</v>
      </c>
    </row>
    <row r="12" spans="1:31" s="198" customFormat="1" x14ac:dyDescent="0.2">
      <c r="A12" s="176" t="s">
        <v>41</v>
      </c>
      <c r="B12" s="205" t="s">
        <v>35</v>
      </c>
      <c r="C12" s="206"/>
      <c r="D12" s="207" t="s">
        <v>26</v>
      </c>
      <c r="E12" s="205" t="s">
        <v>35</v>
      </c>
      <c r="F12" s="206"/>
      <c r="G12" s="208" t="s">
        <v>26</v>
      </c>
      <c r="H12" s="173" t="s">
        <v>32</v>
      </c>
      <c r="I12" s="194" t="s">
        <v>36</v>
      </c>
      <c r="J12" s="194" t="s">
        <v>36</v>
      </c>
      <c r="K12" s="173" t="s">
        <v>37</v>
      </c>
      <c r="L12" s="173" t="s">
        <v>38</v>
      </c>
      <c r="M12" s="209" t="s">
        <v>39</v>
      </c>
      <c r="N12" s="194" t="str">
        <f>O10</f>
        <v>Nat Gas</v>
      </c>
      <c r="O12" s="194" t="s">
        <v>36</v>
      </c>
      <c r="P12" s="194" t="s">
        <v>36</v>
      </c>
      <c r="Q12" s="173" t="s">
        <v>37</v>
      </c>
      <c r="R12" s="173" t="s">
        <v>38</v>
      </c>
      <c r="S12" s="209" t="s">
        <v>39</v>
      </c>
      <c r="T12" s="210" t="s">
        <v>40</v>
      </c>
      <c r="U12" s="179"/>
      <c r="V12" s="194" t="s">
        <v>41</v>
      </c>
      <c r="W12" s="203" t="s">
        <v>42</v>
      </c>
      <c r="X12" s="202" t="s">
        <v>42</v>
      </c>
      <c r="Y12" s="204" t="s">
        <v>42</v>
      </c>
      <c r="Z12" s="203" t="s">
        <v>43</v>
      </c>
      <c r="AA12" s="211" t="s">
        <v>54</v>
      </c>
      <c r="AC12" s="190" t="s">
        <v>42</v>
      </c>
    </row>
    <row r="13" spans="1:31" s="198" customFormat="1" x14ac:dyDescent="0.2">
      <c r="A13" s="176" t="s">
        <v>188</v>
      </c>
      <c r="B13" s="212" t="s">
        <v>44</v>
      </c>
      <c r="C13" s="213" t="s">
        <v>45</v>
      </c>
      <c r="D13" s="214" t="s">
        <v>46</v>
      </c>
      <c r="E13" s="212" t="s">
        <v>44</v>
      </c>
      <c r="F13" s="213" t="s">
        <v>45</v>
      </c>
      <c r="G13" s="211" t="s">
        <v>46</v>
      </c>
      <c r="H13" s="212" t="s">
        <v>45</v>
      </c>
      <c r="I13" s="215" t="s">
        <v>47</v>
      </c>
      <c r="J13" s="215" t="s">
        <v>47</v>
      </c>
      <c r="K13" s="216" t="s">
        <v>46</v>
      </c>
      <c r="L13" s="216" t="s">
        <v>46</v>
      </c>
      <c r="M13" s="211" t="s">
        <v>46</v>
      </c>
      <c r="N13" s="215" t="s">
        <v>45</v>
      </c>
      <c r="O13" s="215" t="s">
        <v>47</v>
      </c>
      <c r="P13" s="215" t="s">
        <v>47</v>
      </c>
      <c r="Q13" s="216" t="s">
        <v>46</v>
      </c>
      <c r="R13" s="216" t="s">
        <v>46</v>
      </c>
      <c r="S13" s="211" t="s">
        <v>46</v>
      </c>
      <c r="T13" s="215" t="s">
        <v>45</v>
      </c>
      <c r="U13" s="211" t="s">
        <v>46</v>
      </c>
      <c r="V13" s="194" t="s">
        <v>186</v>
      </c>
      <c r="W13" s="213" t="s">
        <v>174</v>
      </c>
      <c r="X13" s="211" t="s">
        <v>46</v>
      </c>
      <c r="Y13" s="217" t="s">
        <v>46</v>
      </c>
      <c r="Z13" s="218" t="s">
        <v>46</v>
      </c>
      <c r="AA13" s="219" t="s">
        <v>55</v>
      </c>
    </row>
    <row r="14" spans="1:31" ht="3.75" customHeight="1" x14ac:dyDescent="0.2">
      <c r="A14" s="220"/>
      <c r="B14" s="221"/>
      <c r="C14" s="222"/>
      <c r="D14" s="223"/>
      <c r="E14" s="221"/>
      <c r="F14" s="222"/>
      <c r="G14" s="224"/>
      <c r="H14" s="221"/>
      <c r="I14" s="129"/>
      <c r="J14" s="129"/>
      <c r="K14" s="129"/>
      <c r="L14" s="225"/>
      <c r="M14" s="174"/>
      <c r="N14" s="129"/>
      <c r="O14" s="129"/>
      <c r="P14" s="129"/>
      <c r="Q14" s="129"/>
      <c r="S14" s="174"/>
      <c r="U14" s="174"/>
      <c r="V14" s="129"/>
      <c r="W14" s="129"/>
      <c r="X14" s="174"/>
      <c r="Y14" s="175"/>
      <c r="Z14" s="124"/>
      <c r="AA14" s="174"/>
      <c r="AB14" s="198"/>
      <c r="AC14" s="198"/>
      <c r="AE14" s="198"/>
    </row>
    <row r="15" spans="1:31" x14ac:dyDescent="0.2">
      <c r="A15" s="226">
        <v>0</v>
      </c>
      <c r="B15" s="50" t="s">
        <v>48</v>
      </c>
      <c r="C15" s="50">
        <v>174330</v>
      </c>
      <c r="D15" s="227">
        <f>$C15/(1+disc)^$A15</f>
        <v>174330</v>
      </c>
      <c r="E15" s="228" t="s">
        <v>49</v>
      </c>
      <c r="F15" s="229" t="s">
        <v>49</v>
      </c>
      <c r="G15" s="230" t="s">
        <v>49</v>
      </c>
      <c r="H15" s="52">
        <v>641730</v>
      </c>
      <c r="I15" s="78" t="str">
        <f>IF('General Data'!$H$30="","",'General Data'!$H$30)</f>
        <v/>
      </c>
      <c r="J15" s="78"/>
      <c r="K15" s="231">
        <f>IF(A16=1,1,VLOOKUP(A16-1,'DOE Fuel Esc Rates'!T9:AB13,8,TRUE))</f>
        <v>1</v>
      </c>
      <c r="L15" s="232"/>
      <c r="M15" s="233"/>
      <c r="N15" s="53">
        <v>20420</v>
      </c>
      <c r="O15" s="78" t="str">
        <f>IF('General Data'!$H$31="","",'General Data'!$H$31)</f>
        <v/>
      </c>
      <c r="P15" s="78"/>
      <c r="Q15" s="234">
        <f>IF(A16=1,1,VLOOKUP(A16-1,'DOE Fuel Esc Rates'!T9:AB13,9,TRUE))</f>
        <v>1</v>
      </c>
      <c r="R15" s="232"/>
      <c r="S15" s="233"/>
      <c r="T15" s="53">
        <v>0</v>
      </c>
      <c r="U15" s="233"/>
      <c r="V15" s="235"/>
      <c r="W15" s="236">
        <f>+D15+M15+S15+U15</f>
        <v>174330</v>
      </c>
      <c r="X15" s="237">
        <f>+D15+M15+S15+U15</f>
        <v>174330</v>
      </c>
      <c r="Y15" s="238">
        <f>SUM(X$15:X15)</f>
        <v>174330</v>
      </c>
      <c r="Z15" s="236">
        <f>LCC0!Y15-Y15</f>
        <v>-120030</v>
      </c>
      <c r="AA15" s="237"/>
      <c r="AB15" s="198"/>
      <c r="AC15" s="198"/>
      <c r="AE15" s="198"/>
    </row>
    <row r="16" spans="1:31" x14ac:dyDescent="0.2">
      <c r="A16" s="239">
        <f>IF(ROW(A16)-ROW($A$15)+$H$4&lt;=$N$4,A15+1+$H$4,"")</f>
        <v>1</v>
      </c>
      <c r="B16" s="51"/>
      <c r="C16" s="51">
        <v>0</v>
      </c>
      <c r="D16" s="240">
        <f>IF($A16&lt;&gt;"",$C16/((1+$T$5)^$A16),"")</f>
        <v>0</v>
      </c>
      <c r="E16" s="51"/>
      <c r="F16" s="51">
        <v>0</v>
      </c>
      <c r="G16" s="241">
        <f t="shared" ref="G16:G40" si="0">IF($A16&lt;&gt;"",$F16/((1+disc)^$A16),"")</f>
        <v>0</v>
      </c>
      <c r="H16" s="242">
        <f>IF($A16&lt;=$N$4,H$15*'General Data'!$S8,"")</f>
        <v>641730</v>
      </c>
      <c r="I16" s="243">
        <f>IF(A16&lt;&gt;"",IF(I$15="",VLOOKUP(A16,'DOE Fuel Esc Rates'!$T$9:$W$38,3,TRUE),I$15),"")</f>
        <v>2.7786548784338283E-2</v>
      </c>
      <c r="J16" s="243">
        <f>((1+I16)*(1+'General Data'!$M$25))-1</f>
        <v>2.8814335333122498E-2</v>
      </c>
      <c r="K16" s="244">
        <f>IF(H16&lt;&gt;"",H16*(1+I16)*K15,"")</f>
        <v>659561.46195137338</v>
      </c>
      <c r="L16" s="244">
        <f t="shared" ref="L16:L40" si="1">IF(H16&lt;&gt;"",H16/(1+disc)^$A16,"")</f>
        <v>623038.83495145629</v>
      </c>
      <c r="M16" s="241">
        <f t="shared" ref="M16:M40" si="2">IF(H16&lt;&gt;"",K16/(1+disc)^$A16,"")</f>
        <v>640350.93393337214</v>
      </c>
      <c r="N16" s="242">
        <f>IF($A16&lt;=$N$4,N$15*'General Data'!$S8,"")</f>
        <v>20420</v>
      </c>
      <c r="O16" s="243">
        <f>IF(A16&lt;&gt;"",IF(O$15="",VLOOKUP(A16,'DOE Fuel Esc Rates'!$T$9:$W$38,4,TRUE),O$15),"")</f>
        <v>1.2387387387387427E-2</v>
      </c>
      <c r="P16" s="243">
        <f>((1+O16)*(1+'General Data'!$M$25))-1</f>
        <v>1.339977477477472E-2</v>
      </c>
      <c r="Q16" s="244">
        <f>IF(N16&lt;&gt;"",N16*(1+O16)*Q15,"")</f>
        <v>20672.950450450451</v>
      </c>
      <c r="R16" s="244">
        <f t="shared" ref="R16:R40" si="3">IF(N16&lt;&gt;"",N16/(1+disc)^$A16,"")</f>
        <v>19825.2427184466</v>
      </c>
      <c r="S16" s="241">
        <f t="shared" ref="S16:S40" si="4">IF(N16&lt;&gt;"",Q16/((1+disc)^$A16),"")</f>
        <v>20070.82568004898</v>
      </c>
      <c r="T16" s="242">
        <f t="shared" ref="T16:T40" si="5">IF($A16&lt;=$N$4,T$15,"")</f>
        <v>0</v>
      </c>
      <c r="U16" s="245">
        <f t="shared" ref="U16:U40" si="6">IF(T16&lt;&gt;"",T16/(1+disc)^A16,"")</f>
        <v>0</v>
      </c>
      <c r="V16" s="246">
        <f>IF($A16&lt;=$N$4,VLOOKUP(A16,'DOE Fuel Esc Rates'!$T$9:$W$38,2,TRUE),"")</f>
        <v>2015</v>
      </c>
      <c r="W16" s="247">
        <f t="shared" ref="W16:W40" si="7">IF(A16&lt;&gt;"",SUM(C16,F16,K16,Q16,T16),"")</f>
        <v>680234.41240182379</v>
      </c>
      <c r="X16" s="241">
        <f t="shared" ref="X16:X40" si="8">IF(A16&lt;&gt;"",SUM(D16,G16,M16,S16,U16),"")</f>
        <v>660421.75961342116</v>
      </c>
      <c r="Y16" s="248">
        <f>IF(A16&lt;&gt;"",SUM(X$15:X16),"")</f>
        <v>834751.75961342116</v>
      </c>
      <c r="Z16" s="249">
        <f>IF(A16&lt;&gt;"",LCC0!Y16-Y16,"")</f>
        <v>-100665.12031119037</v>
      </c>
      <c r="AA16" s="312" t="str">
        <f>IF(A16&lt;&gt;"",IF(Z16&gt;0,A15+(-Z15)/(Z16-Z15),""),"")</f>
        <v/>
      </c>
      <c r="AB16" s="198"/>
      <c r="AC16" s="251">
        <f t="shared" ref="AC16:AC40" si="9">SUM(K16,Q16)</f>
        <v>680234.41240182379</v>
      </c>
      <c r="AE16" s="198"/>
    </row>
    <row r="17" spans="1:31" x14ac:dyDescent="0.2">
      <c r="A17" s="176">
        <f>IF(ROW(A17)-ROW($A$15)+$H$4&lt;=$N$4,A16+1,"")</f>
        <v>2</v>
      </c>
      <c r="B17" s="56"/>
      <c r="C17" s="51">
        <v>0</v>
      </c>
      <c r="D17" s="252">
        <f t="shared" ref="D17:D40" si="10">IF($A17&lt;&gt;"",$C17/((1+$T$5)^$A17),"")</f>
        <v>0</v>
      </c>
      <c r="E17" s="56"/>
      <c r="F17" s="51">
        <v>0</v>
      </c>
      <c r="G17" s="241">
        <f t="shared" si="0"/>
        <v>0</v>
      </c>
      <c r="H17" s="242">
        <f>IF($A17&lt;=$N$4,H$15*'General Data'!$S9,"")</f>
        <v>641730</v>
      </c>
      <c r="I17" s="243">
        <f>IF(A17&lt;&gt;"",IF(I$15="",VLOOKUP(A17,'DOE Fuel Esc Rates'!$T$9:$W$38,3,TRUE),I$15),"")</f>
        <v>1.3824884792626779E-2</v>
      </c>
      <c r="J17" s="243">
        <f>((1+I17)*(1+'General Data'!$M$25))-1</f>
        <v>1.4838709677419404E-2</v>
      </c>
      <c r="K17" s="253">
        <f t="shared" ref="K17:K40" si="11">IF(H17&lt;&gt;"",K16*(1+I17),"")</f>
        <v>668679.82317650761</v>
      </c>
      <c r="L17" s="253">
        <f t="shared" si="1"/>
        <v>604892.07276840426</v>
      </c>
      <c r="M17" s="241">
        <f t="shared" si="2"/>
        <v>630294.86584645836</v>
      </c>
      <c r="N17" s="242">
        <f>IF($A17&lt;=$N$4,N$15*'General Data'!$S9,"")</f>
        <v>20420</v>
      </c>
      <c r="O17" s="243">
        <f>IF(A17&lt;&gt;"",IF(O$15="",VLOOKUP(A17,'DOE Fuel Esc Rates'!$T$9:$W$38,4,TRUE),O$15),"")</f>
        <v>1.1123470522802492E-3</v>
      </c>
      <c r="P17" s="243">
        <f>((1+O17)*(1+'General Data'!$M$25))-1</f>
        <v>2.1134593993323847E-3</v>
      </c>
      <c r="Q17" s="253">
        <f t="shared" ref="Q17:Q40" si="12">IF(N17&lt;&gt;"",Q16*(1+O17),"")</f>
        <v>20695.945945945947</v>
      </c>
      <c r="R17" s="253">
        <f t="shared" si="3"/>
        <v>19247.808464511265</v>
      </c>
      <c r="S17" s="241">
        <f t="shared" si="4"/>
        <v>19507.913984301958</v>
      </c>
      <c r="T17" s="242">
        <f t="shared" si="5"/>
        <v>0</v>
      </c>
      <c r="U17" s="245">
        <f t="shared" si="6"/>
        <v>0</v>
      </c>
      <c r="V17" s="246">
        <f>IF($A17&lt;=$N$4,VLOOKUP(A17,'DOE Fuel Esc Rates'!$T$9:$W$38,2,TRUE),"")</f>
        <v>2016</v>
      </c>
      <c r="W17" s="247">
        <f t="shared" si="7"/>
        <v>689375.76912245352</v>
      </c>
      <c r="X17" s="241">
        <f t="shared" si="8"/>
        <v>649802.77983076032</v>
      </c>
      <c r="Y17" s="248">
        <f>IF(A17&lt;&gt;"",SUM(X$15:X17),"")</f>
        <v>1484554.5394441816</v>
      </c>
      <c r="Z17" s="249">
        <f>IF(A17&lt;&gt;"",LCC0!Y17-Y17,"")</f>
        <v>-81663.789588169195</v>
      </c>
      <c r="AA17" s="312" t="str">
        <f>IF(A17&lt;&gt;"",IF(Z17&gt;0,IF(SUM(AA$16:AA16)=0,A16+(-Z16)/(Z17-Z16),""),""),"")</f>
        <v/>
      </c>
      <c r="AB17" s="198"/>
      <c r="AC17" s="251">
        <f t="shared" si="9"/>
        <v>689375.76912245352</v>
      </c>
      <c r="AE17" s="198"/>
    </row>
    <row r="18" spans="1:31" x14ac:dyDescent="0.2">
      <c r="A18" s="176">
        <f t="shared" ref="A18:A40" si="13">IF(ROW(A18)-ROW($A$15)+$H$4&lt;=$N$4,A17+1,"")</f>
        <v>3</v>
      </c>
      <c r="B18" s="56"/>
      <c r="C18" s="51">
        <v>0</v>
      </c>
      <c r="D18" s="252">
        <f t="shared" si="10"/>
        <v>0</v>
      </c>
      <c r="E18" s="56"/>
      <c r="F18" s="51">
        <v>0</v>
      </c>
      <c r="G18" s="241">
        <f t="shared" si="0"/>
        <v>0</v>
      </c>
      <c r="H18" s="242">
        <f>IF($A18&lt;=$N$4,H$15*'General Data'!$S10,"")</f>
        <v>641730</v>
      </c>
      <c r="I18" s="243">
        <f>IF(A18&lt;&gt;"",IF(I$15="",VLOOKUP(A18,'DOE Fuel Esc Rates'!$T$9:$W$38,3,TRUE),I$15),"")</f>
        <v>-1.0606060606060619E-2</v>
      </c>
      <c r="J18" s="243">
        <f>((1+I18)*(1+'General Data'!$M$25))-1</f>
        <v>-9.6166666666668288E-3</v>
      </c>
      <c r="K18" s="253">
        <f t="shared" si="11"/>
        <v>661587.76444584772</v>
      </c>
      <c r="L18" s="253">
        <f t="shared" si="1"/>
        <v>587273.85705670307</v>
      </c>
      <c r="M18" s="241">
        <f t="shared" si="2"/>
        <v>605446.52456272033</v>
      </c>
      <c r="N18" s="242">
        <f>IF($A18&lt;=$N$4,N$15*'General Data'!$S10,"")</f>
        <v>20420</v>
      </c>
      <c r="O18" s="243">
        <f>IF(A18&lt;&gt;"",IF(O$15="",VLOOKUP(A18,'DOE Fuel Esc Rates'!$T$9:$W$38,4,TRUE),O$15),"")</f>
        <v>-1.1111111111110628E-3</v>
      </c>
      <c r="P18" s="243">
        <f>((1+O18)*(1+'General Data'!$M$25))-1</f>
        <v>-1.1222222222229128E-4</v>
      </c>
      <c r="Q18" s="253">
        <f t="shared" si="12"/>
        <v>20672.950450450451</v>
      </c>
      <c r="R18" s="253">
        <f t="shared" si="3"/>
        <v>18687.192683991518</v>
      </c>
      <c r="S18" s="241">
        <f t="shared" si="4"/>
        <v>18918.678178950875</v>
      </c>
      <c r="T18" s="242">
        <f t="shared" si="5"/>
        <v>0</v>
      </c>
      <c r="U18" s="245">
        <f t="shared" si="6"/>
        <v>0</v>
      </c>
      <c r="V18" s="246">
        <f>IF($A18&lt;=$N$4,VLOOKUP(A18,'DOE Fuel Esc Rates'!$T$9:$W$38,2,TRUE),"")</f>
        <v>2017</v>
      </c>
      <c r="W18" s="247">
        <f t="shared" si="7"/>
        <v>682260.71489629813</v>
      </c>
      <c r="X18" s="241">
        <f t="shared" si="8"/>
        <v>624365.20274167124</v>
      </c>
      <c r="Y18" s="248">
        <f>IF(A18&lt;&gt;"",SUM(X$15:X18),"")</f>
        <v>2108919.742185853</v>
      </c>
      <c r="Z18" s="249">
        <f>IF(A18&lt;&gt;"",LCC0!Y18-Y18,"")</f>
        <v>-63368.40259882086</v>
      </c>
      <c r="AA18" s="312" t="str">
        <f>IF(A18&lt;&gt;"",IF(Z18&gt;0,IF(SUM(AA$16:AA17)=0,A17+(-Z17)/(Z18-Z17),""),""),"")</f>
        <v/>
      </c>
      <c r="AB18" s="198"/>
      <c r="AC18" s="251">
        <f t="shared" si="9"/>
        <v>682260.71489629813</v>
      </c>
      <c r="AE18" s="198"/>
    </row>
    <row r="19" spans="1:31" x14ac:dyDescent="0.2">
      <c r="A19" s="176">
        <f t="shared" si="13"/>
        <v>4</v>
      </c>
      <c r="B19" s="56"/>
      <c r="C19" s="51">
        <v>0</v>
      </c>
      <c r="D19" s="252">
        <f t="shared" si="10"/>
        <v>0</v>
      </c>
      <c r="E19" s="56"/>
      <c r="F19" s="51">
        <v>0</v>
      </c>
      <c r="G19" s="241">
        <f t="shared" si="0"/>
        <v>0</v>
      </c>
      <c r="H19" s="242">
        <f>IF($A19&lt;=$N$4,H$15*'General Data'!$S11,"")</f>
        <v>641730</v>
      </c>
      <c r="I19" s="243">
        <f>IF(A19&lt;&gt;"",IF(I$15="",VLOOKUP(A19,'DOE Fuel Esc Rates'!$T$9:$W$38,3,TRUE),I$15),"")</f>
        <v>-7.9632465543644226E-3</v>
      </c>
      <c r="J19" s="243">
        <f>((1+I19)*(1+'General Data'!$M$25))-1</f>
        <v>-6.9712098009189205E-3</v>
      </c>
      <c r="K19" s="253">
        <f t="shared" si="11"/>
        <v>656319.37796021462</v>
      </c>
      <c r="L19" s="253">
        <f t="shared" si="1"/>
        <v>570168.7932589351</v>
      </c>
      <c r="M19" s="241">
        <f t="shared" si="2"/>
        <v>583131.26661373244</v>
      </c>
      <c r="N19" s="242">
        <f>IF($A19&lt;=$N$4,N$15*'General Data'!$S11,"")</f>
        <v>20420</v>
      </c>
      <c r="O19" s="243">
        <f>IF(A19&lt;&gt;"",IF(O$15="",VLOOKUP(A19,'DOE Fuel Esc Rates'!$T$9:$W$38,4,TRUE),O$15),"")</f>
        <v>3.6707452725250223E-2</v>
      </c>
      <c r="P19" s="243">
        <f>((1+O19)*(1+'General Data'!$M$25))-1</f>
        <v>3.7744160177975328E-2</v>
      </c>
      <c r="Q19" s="253">
        <f t="shared" si="12"/>
        <v>21431.801801801801</v>
      </c>
      <c r="R19" s="253">
        <f t="shared" si="3"/>
        <v>18142.905518438369</v>
      </c>
      <c r="S19" s="241">
        <f t="shared" si="4"/>
        <v>19041.878314397025</v>
      </c>
      <c r="T19" s="242">
        <f t="shared" si="5"/>
        <v>0</v>
      </c>
      <c r="U19" s="245">
        <f t="shared" si="6"/>
        <v>0</v>
      </c>
      <c r="V19" s="246">
        <f>IF($A19&lt;=$N$4,VLOOKUP(A19,'DOE Fuel Esc Rates'!$T$9:$W$38,2,TRUE),"")</f>
        <v>2018</v>
      </c>
      <c r="W19" s="247">
        <f t="shared" si="7"/>
        <v>677751.1797620164</v>
      </c>
      <c r="X19" s="241">
        <f t="shared" si="8"/>
        <v>602173.14492812951</v>
      </c>
      <c r="Y19" s="248">
        <f>IF(A19&lt;&gt;"",SUM(X$15:X19),"")</f>
        <v>2711092.8871139823</v>
      </c>
      <c r="Z19" s="249">
        <f>IF(A19&lt;&gt;"",LCC0!Y19-Y19,"")</f>
        <v>-45550.451392120682</v>
      </c>
      <c r="AA19" s="312" t="str">
        <f>IF(A19&lt;&gt;"",IF(Z19&gt;0,IF(SUM(AA$16:AA18)=0,A18+(-Z18)/(Z19-Z18),""),""),"")</f>
        <v/>
      </c>
      <c r="AB19" s="198"/>
      <c r="AC19" s="251">
        <f t="shared" si="9"/>
        <v>677751.1797620164</v>
      </c>
      <c r="AE19" s="198"/>
    </row>
    <row r="20" spans="1:31" x14ac:dyDescent="0.2">
      <c r="A20" s="176">
        <f t="shared" si="13"/>
        <v>5</v>
      </c>
      <c r="B20" s="56"/>
      <c r="C20" s="51">
        <v>0</v>
      </c>
      <c r="D20" s="252">
        <f t="shared" si="10"/>
        <v>0</v>
      </c>
      <c r="E20" s="56"/>
      <c r="F20" s="51">
        <v>0</v>
      </c>
      <c r="G20" s="241">
        <f t="shared" si="0"/>
        <v>0</v>
      </c>
      <c r="H20" s="242">
        <f>IF($A20&lt;=$N$4,H$15*'General Data'!$S12,"")</f>
        <v>641730</v>
      </c>
      <c r="I20" s="243">
        <f>IF(A20&lt;&gt;"",IF(I$15="",VLOOKUP(A20,'DOE Fuel Esc Rates'!$T$9:$W$38,3,TRUE),I$15),"")</f>
        <v>6.1747452917559897E-4</v>
      </c>
      <c r="J20" s="243">
        <f>((1+I20)*(1+'General Data'!$M$25))-1</f>
        <v>1.6180920037047741E-3</v>
      </c>
      <c r="K20" s="253">
        <f t="shared" si="11"/>
        <v>656724.63845910947</v>
      </c>
      <c r="L20" s="253">
        <f t="shared" si="1"/>
        <v>553561.93520284968</v>
      </c>
      <c r="M20" s="241">
        <f t="shared" si="2"/>
        <v>566496.44205634203</v>
      </c>
      <c r="N20" s="242">
        <f>IF($A20&lt;=$N$4,N$15*'General Data'!$S12,"")</f>
        <v>20420</v>
      </c>
      <c r="O20" s="243">
        <f>IF(A20&lt;&gt;"",IF(O$15="",VLOOKUP(A20,'DOE Fuel Esc Rates'!$T$9:$W$38,4,TRUE),O$15),"")</f>
        <v>4.7210300429184393E-2</v>
      </c>
      <c r="P20" s="243">
        <f>((1+O20)*(1+'General Data'!$M$25))-1</f>
        <v>4.8257510729613484E-2</v>
      </c>
      <c r="Q20" s="253">
        <f t="shared" si="12"/>
        <v>22443.603603603598</v>
      </c>
      <c r="R20" s="253">
        <f t="shared" si="3"/>
        <v>17614.471377124632</v>
      </c>
      <c r="S20" s="241">
        <f t="shared" si="4"/>
        <v>19360.049621704544</v>
      </c>
      <c r="T20" s="242">
        <f t="shared" si="5"/>
        <v>0</v>
      </c>
      <c r="U20" s="245">
        <f t="shared" si="6"/>
        <v>0</v>
      </c>
      <c r="V20" s="246">
        <f>IF($A20&lt;=$N$4,VLOOKUP(A20,'DOE Fuel Esc Rates'!$T$9:$W$38,2,TRUE),"")</f>
        <v>2019</v>
      </c>
      <c r="W20" s="247">
        <f t="shared" si="7"/>
        <v>679168.24206271302</v>
      </c>
      <c r="X20" s="241">
        <f t="shared" si="8"/>
        <v>585856.49167804653</v>
      </c>
      <c r="Y20" s="248">
        <f>IF(A20&lt;&gt;"",SUM(X$15:X20),"")</f>
        <v>3296949.3787920289</v>
      </c>
      <c r="Z20" s="249">
        <f>IF(A20&lt;&gt;"",LCC0!Y20-Y20,"")</f>
        <v>-28034.092013349291</v>
      </c>
      <c r="AA20" s="312" t="str">
        <f>IF(A20&lt;&gt;"",IF(Z20&gt;0,IF(SUM(AA$16:AA19)=0,A19+(-Z19)/(Z20-Z19),""),""),"")</f>
        <v/>
      </c>
      <c r="AB20" s="198"/>
      <c r="AC20" s="251">
        <f t="shared" si="9"/>
        <v>679168.24206271302</v>
      </c>
      <c r="AE20" s="198"/>
    </row>
    <row r="21" spans="1:31" x14ac:dyDescent="0.2">
      <c r="A21" s="176">
        <f t="shared" si="13"/>
        <v>6</v>
      </c>
      <c r="B21" s="56"/>
      <c r="C21" s="51">
        <v>0</v>
      </c>
      <c r="D21" s="252">
        <f t="shared" si="10"/>
        <v>0</v>
      </c>
      <c r="E21" s="56"/>
      <c r="F21" s="51">
        <v>0</v>
      </c>
      <c r="G21" s="241">
        <f t="shared" si="0"/>
        <v>0</v>
      </c>
      <c r="H21" s="242">
        <f>IF($A21&lt;=$N$4,H$15*'General Data'!$S13,"")</f>
        <v>641730</v>
      </c>
      <c r="I21" s="243">
        <f>IF(A21&lt;&gt;"",IF(I$15="",VLOOKUP(A21,'DOE Fuel Esc Rates'!$T$9:$W$38,3,TRUE),I$15),"")</f>
        <v>3.7025609379821578E-3</v>
      </c>
      <c r="J21" s="243">
        <f>((1+I21)*(1+'General Data'!$M$25))-1</f>
        <v>4.7062634989201158E-3</v>
      </c>
      <c r="K21" s="253">
        <f t="shared" si="11"/>
        <v>659156.20145247865</v>
      </c>
      <c r="L21" s="253">
        <f t="shared" si="1"/>
        <v>537438.77204160159</v>
      </c>
      <c r="M21" s="241">
        <f t="shared" si="2"/>
        <v>552032.94141185028</v>
      </c>
      <c r="N21" s="242">
        <f>IF($A21&lt;=$N$4,N$15*'General Data'!$S13,"")</f>
        <v>20420</v>
      </c>
      <c r="O21" s="243">
        <f>IF(A21&lt;&gt;"",IF(O$15="",VLOOKUP(A21,'DOE Fuel Esc Rates'!$T$9:$W$38,4,TRUE),O$15),"")</f>
        <v>3.5860655737704805E-2</v>
      </c>
      <c r="P21" s="243">
        <f>((1+O21)*(1+'General Data'!$M$25))-1</f>
        <v>3.6896516393442491E-2</v>
      </c>
      <c r="Q21" s="253">
        <f t="shared" si="12"/>
        <v>23248.445945945939</v>
      </c>
      <c r="R21" s="253">
        <f t="shared" si="3"/>
        <v>17101.428521480222</v>
      </c>
      <c r="S21" s="241">
        <f t="shared" si="4"/>
        <v>19470.207472090653</v>
      </c>
      <c r="T21" s="242">
        <f t="shared" si="5"/>
        <v>0</v>
      </c>
      <c r="U21" s="245">
        <f t="shared" si="6"/>
        <v>0</v>
      </c>
      <c r="V21" s="246">
        <f>IF($A21&lt;=$N$4,VLOOKUP(A21,'DOE Fuel Esc Rates'!$T$9:$W$38,2,TRUE),"")</f>
        <v>2020</v>
      </c>
      <c r="W21" s="247">
        <f t="shared" si="7"/>
        <v>682404.64739842457</v>
      </c>
      <c r="X21" s="241">
        <f t="shared" si="8"/>
        <v>571503.14888394088</v>
      </c>
      <c r="Y21" s="248">
        <f>IF(A21&lt;&gt;"",SUM(X$15:X21),"")</f>
        <v>3868452.5276759695</v>
      </c>
      <c r="Z21" s="249">
        <f>IF(A21&lt;&gt;"",LCC0!Y21-Y21,"")</f>
        <v>-10819.907420768403</v>
      </c>
      <c r="AA21" s="312" t="str">
        <f>IF(A21&lt;&gt;"",IF(Z21&gt;0,IF(SUM(AA$16:AA20)=0,A20+(-Z20)/(Z21-Z20),""),""),"")</f>
        <v/>
      </c>
      <c r="AB21" s="198"/>
      <c r="AC21" s="251">
        <f t="shared" si="9"/>
        <v>682404.64739842457</v>
      </c>
      <c r="AE21" s="198"/>
    </row>
    <row r="22" spans="1:31" x14ac:dyDescent="0.2">
      <c r="A22" s="176">
        <f t="shared" si="13"/>
        <v>7</v>
      </c>
      <c r="B22" s="56"/>
      <c r="C22" s="51">
        <v>0</v>
      </c>
      <c r="D22" s="252">
        <f t="shared" si="10"/>
        <v>0</v>
      </c>
      <c r="E22" s="56"/>
      <c r="F22" s="51">
        <v>0</v>
      </c>
      <c r="G22" s="241">
        <f t="shared" si="0"/>
        <v>0</v>
      </c>
      <c r="H22" s="242">
        <f>IF($A22&lt;=$N$4,H$15*'General Data'!$S14,"")</f>
        <v>641730</v>
      </c>
      <c r="I22" s="243">
        <f>IF(A22&lt;&gt;"",IF(I$15="",VLOOKUP(A22,'DOE Fuel Esc Rates'!$T$9:$W$38,3,TRUE),I$15),"")</f>
        <v>1.8444512757456177E-3</v>
      </c>
      <c r="J22" s="243">
        <f>((1+I22)*(1+'General Data'!$M$25))-1</f>
        <v>2.8462957270212197E-3</v>
      </c>
      <c r="K22" s="253">
        <f t="shared" si="11"/>
        <v>660371.9829491633</v>
      </c>
      <c r="L22" s="253">
        <f t="shared" si="1"/>
        <v>521785.21557437041</v>
      </c>
      <c r="M22" s="241">
        <f t="shared" si="2"/>
        <v>536942.85366494267</v>
      </c>
      <c r="N22" s="242">
        <f>IF($A22&lt;=$N$4,N$15*'General Data'!$S14,"")</f>
        <v>20420</v>
      </c>
      <c r="O22" s="243">
        <f>IF(A22&lt;&gt;"",IF(O$15="",VLOOKUP(A22,'DOE Fuel Esc Rates'!$T$9:$W$38,4,TRUE),O$15),"")</f>
        <v>2.0771513353115889E-2</v>
      </c>
      <c r="P22" s="243">
        <f>((1+O22)*(1+'General Data'!$M$25))-1</f>
        <v>2.1792284866468892E-2</v>
      </c>
      <c r="Q22" s="253">
        <f t="shared" si="12"/>
        <v>23731.35135135135</v>
      </c>
      <c r="R22" s="253">
        <f t="shared" si="3"/>
        <v>16603.328661631283</v>
      </c>
      <c r="S22" s="241">
        <f t="shared" si="4"/>
        <v>19295.76033649041</v>
      </c>
      <c r="T22" s="242">
        <f t="shared" si="5"/>
        <v>0</v>
      </c>
      <c r="U22" s="245">
        <f t="shared" si="6"/>
        <v>0</v>
      </c>
      <c r="V22" s="246">
        <f>IF($A22&lt;=$N$4,VLOOKUP(A22,'DOE Fuel Esc Rates'!$T$9:$W$38,2,TRUE),"")</f>
        <v>2021</v>
      </c>
      <c r="W22" s="247">
        <f t="shared" si="7"/>
        <v>684103.33430051466</v>
      </c>
      <c r="X22" s="241">
        <f t="shared" si="8"/>
        <v>556238.61400143313</v>
      </c>
      <c r="Y22" s="248">
        <f>IF(A22&lt;&gt;"",SUM(X$15:X22),"")</f>
        <v>4424691.1416774029</v>
      </c>
      <c r="Z22" s="249">
        <f>IF(A22&lt;&gt;"",LCC0!Y22-Y22,"")</f>
        <v>6009.5723831737414</v>
      </c>
      <c r="AA22" s="312">
        <f>IF(A22&lt;&gt;"",IF(Z22&gt;0,IF(SUM(AA$16:AA21)=0,A21+(-Z21)/(Z22-Z21),""),""),"")</f>
        <v>6.642913954965735</v>
      </c>
      <c r="AB22" s="198"/>
      <c r="AC22" s="251">
        <f t="shared" si="9"/>
        <v>684103.33430051466</v>
      </c>
      <c r="AE22" s="198"/>
    </row>
    <row r="23" spans="1:31" x14ac:dyDescent="0.2">
      <c r="A23" s="176">
        <f t="shared" si="13"/>
        <v>8</v>
      </c>
      <c r="B23" s="56"/>
      <c r="C23" s="51">
        <v>0</v>
      </c>
      <c r="D23" s="252">
        <f t="shared" si="10"/>
        <v>0</v>
      </c>
      <c r="E23" s="56" t="s">
        <v>50</v>
      </c>
      <c r="F23" s="51">
        <v>0</v>
      </c>
      <c r="G23" s="241">
        <f t="shared" si="0"/>
        <v>0</v>
      </c>
      <c r="H23" s="242">
        <f>IF($A23&lt;=$N$4,H$15*'General Data'!$S15,"")</f>
        <v>641730</v>
      </c>
      <c r="I23" s="243">
        <f>IF(A23&lt;&gt;"",IF(I$15="",VLOOKUP(A23,'DOE Fuel Esc Rates'!$T$9:$W$38,3,TRUE),I$15),"")</f>
        <v>-2.1478981282602172E-3</v>
      </c>
      <c r="J23" s="243">
        <f>((1+I23)*(1+'General Data'!$M$25))-1</f>
        <v>-1.1500460263885737E-3</v>
      </c>
      <c r="K23" s="253">
        <f t="shared" si="11"/>
        <v>658953.57120303134</v>
      </c>
      <c r="L23" s="253">
        <f t="shared" si="1"/>
        <v>506587.58793628198</v>
      </c>
      <c r="M23" s="241">
        <f t="shared" si="2"/>
        <v>520184.03409181855</v>
      </c>
      <c r="N23" s="242">
        <f>IF($A23&lt;=$N$4,N$15*'General Data'!$S15,"")</f>
        <v>20420</v>
      </c>
      <c r="O23" s="243">
        <f>IF(A23&lt;&gt;"",IF(O$15="",VLOOKUP(A23,'DOE Fuel Esc Rates'!$T$9:$W$38,4,TRUE),O$15),"")</f>
        <v>1.744186046511631E-2</v>
      </c>
      <c r="P23" s="243">
        <f>((1+O23)*(1+'General Data'!$M$25))-1</f>
        <v>1.8459302325581239E-2</v>
      </c>
      <c r="Q23" s="253">
        <f t="shared" si="12"/>
        <v>24145.27027027027</v>
      </c>
      <c r="R23" s="253">
        <f t="shared" si="3"/>
        <v>16119.736564690569</v>
      </c>
      <c r="S23" s="241">
        <f t="shared" si="4"/>
        <v>19060.499316357091</v>
      </c>
      <c r="T23" s="242">
        <f t="shared" si="5"/>
        <v>0</v>
      </c>
      <c r="U23" s="245">
        <f t="shared" si="6"/>
        <v>0</v>
      </c>
      <c r="V23" s="246">
        <f>IF($A23&lt;=$N$4,VLOOKUP(A23,'DOE Fuel Esc Rates'!$T$9:$W$38,2,TRUE),"")</f>
        <v>2022</v>
      </c>
      <c r="W23" s="247">
        <f t="shared" si="7"/>
        <v>683098.84147330164</v>
      </c>
      <c r="X23" s="241">
        <f t="shared" si="8"/>
        <v>539244.53340817569</v>
      </c>
      <c r="Y23" s="248">
        <f>IF(A23&lt;&gt;"",SUM(X$15:X23),"")</f>
        <v>4963935.6750855781</v>
      </c>
      <c r="Z23" s="249">
        <f>IF(A23&lt;&gt;"",LCC0!Y23-Y23,"")</f>
        <v>22401.841136219911</v>
      </c>
      <c r="AA23" s="312" t="str">
        <f>IF(A23&lt;&gt;"",IF(Z23&gt;0,IF(SUM(AA$16:AA22)=0,A22+(-Z22)/(Z23-Z22),""),""),"")</f>
        <v/>
      </c>
      <c r="AB23" s="198"/>
      <c r="AC23" s="251">
        <f t="shared" si="9"/>
        <v>683098.84147330164</v>
      </c>
      <c r="AE23" s="198"/>
    </row>
    <row r="24" spans="1:31" x14ac:dyDescent="0.2">
      <c r="A24" s="176">
        <f t="shared" si="13"/>
        <v>9</v>
      </c>
      <c r="B24" s="56"/>
      <c r="C24" s="51">
        <v>0</v>
      </c>
      <c r="D24" s="252">
        <f t="shared" si="10"/>
        <v>0</v>
      </c>
      <c r="E24" s="56"/>
      <c r="F24" s="51">
        <v>0</v>
      </c>
      <c r="G24" s="241">
        <f t="shared" si="0"/>
        <v>0</v>
      </c>
      <c r="H24" s="242">
        <f>IF($A24&lt;=$N$4,H$15*'General Data'!$S16,"")</f>
        <v>641730</v>
      </c>
      <c r="I24" s="243">
        <f>IF(A24&lt;&gt;"",IF(I$15="",VLOOKUP(A24,'DOE Fuel Esc Rates'!$T$9:$W$38,3,TRUE),I$15),"")</f>
        <v>-2.4600246002461912E-3</v>
      </c>
      <c r="J24" s="243">
        <f>((1+I24)*(1+'General Data'!$M$25))-1</f>
        <v>-1.4624846248465495E-3</v>
      </c>
      <c r="K24" s="253">
        <f t="shared" si="11"/>
        <v>657332.52920745185</v>
      </c>
      <c r="L24" s="253">
        <f t="shared" si="1"/>
        <v>491832.6096468757</v>
      </c>
      <c r="M24" s="241">
        <f t="shared" si="2"/>
        <v>503790.64909834694</v>
      </c>
      <c r="N24" s="242">
        <f>IF($A24&lt;=$N$4,N$15*'General Data'!$S16,"")</f>
        <v>20420</v>
      </c>
      <c r="O24" s="243">
        <f>IF(A24&lt;&gt;"",IF(O$15="",VLOOKUP(A24,'DOE Fuel Esc Rates'!$T$9:$W$38,4,TRUE),O$15),"")</f>
        <v>1.0476190476190528E-2</v>
      </c>
      <c r="P24" s="243">
        <f>((1+O24)*(1+'General Data'!$M$25))-1</f>
        <v>1.1486666666666645E-2</v>
      </c>
      <c r="Q24" s="253">
        <f t="shared" si="12"/>
        <v>24398.220720720721</v>
      </c>
      <c r="R24" s="253">
        <f t="shared" si="3"/>
        <v>15650.229674456863</v>
      </c>
      <c r="S24" s="241">
        <f t="shared" si="4"/>
        <v>18699.204599773348</v>
      </c>
      <c r="T24" s="242">
        <f t="shared" si="5"/>
        <v>0</v>
      </c>
      <c r="U24" s="245">
        <f t="shared" si="6"/>
        <v>0</v>
      </c>
      <c r="V24" s="246">
        <f>IF($A24&lt;=$N$4,VLOOKUP(A24,'DOE Fuel Esc Rates'!$T$9:$W$38,2,TRUE),"")</f>
        <v>2023</v>
      </c>
      <c r="W24" s="247">
        <f t="shared" si="7"/>
        <v>681730.74992817256</v>
      </c>
      <c r="X24" s="241">
        <f t="shared" si="8"/>
        <v>522489.85369812028</v>
      </c>
      <c r="Y24" s="248">
        <f>IF(A24&lt;&gt;"",SUM(X$15:X24),"")</f>
        <v>5486425.5287836986</v>
      </c>
      <c r="Z24" s="249">
        <f>IF(A24&lt;&gt;"",LCC0!Y24-Y24,"")</f>
        <v>38334.958302393556</v>
      </c>
      <c r="AA24" s="312" t="str">
        <f>IF(A24&lt;&gt;"",IF(Z24&gt;0,IF(SUM(AA$16:AA23)=0,A23+(-Z23)/(Z24-Z23),""),""),"")</f>
        <v/>
      </c>
      <c r="AB24" s="198"/>
      <c r="AC24" s="251">
        <f t="shared" si="9"/>
        <v>681730.74992817256</v>
      </c>
      <c r="AE24" s="198"/>
    </row>
    <row r="25" spans="1:31" x14ac:dyDescent="0.2">
      <c r="A25" s="176">
        <f t="shared" si="13"/>
        <v>10</v>
      </c>
      <c r="B25" s="56"/>
      <c r="C25" s="51">
        <v>0</v>
      </c>
      <c r="D25" s="252">
        <f t="shared" si="10"/>
        <v>0</v>
      </c>
      <c r="E25" s="56"/>
      <c r="F25" s="51">
        <v>0</v>
      </c>
      <c r="G25" s="241">
        <f t="shared" si="0"/>
        <v>0</v>
      </c>
      <c r="H25" s="242">
        <f>IF($A25&lt;=$N$4,H$15*'General Data'!$S17,"")</f>
        <v>641730</v>
      </c>
      <c r="I25" s="243">
        <f>IF(A25&lt;&gt;"",IF(I$15="",VLOOKUP(A25,'DOE Fuel Esc Rates'!$T$9:$W$38,3,TRUE),I$15),"")</f>
        <v>2.1578298397040285E-3</v>
      </c>
      <c r="J25" s="243">
        <f>((1+I25)*(1+'General Data'!$M$25))-1</f>
        <v>3.159987669543618E-3</v>
      </c>
      <c r="K25" s="253">
        <f t="shared" si="11"/>
        <v>658750.94095358381</v>
      </c>
      <c r="L25" s="253">
        <f t="shared" si="1"/>
        <v>477507.38800667546</v>
      </c>
      <c r="M25" s="241">
        <f t="shared" si="2"/>
        <v>490172.56659605366</v>
      </c>
      <c r="N25" s="242">
        <f>IF($A25&lt;=$N$4,N$15*'General Data'!$S17,"")</f>
        <v>20420</v>
      </c>
      <c r="O25" s="243">
        <f>IF(A25&lt;&gt;"",IF(O$15="",VLOOKUP(A25,'DOE Fuel Esc Rates'!$T$9:$W$38,4,TRUE),O$15),"")</f>
        <v>1.6965127238454336E-2</v>
      </c>
      <c r="P25" s="243">
        <f>((1+O25)*(1+'General Data'!$M$25))-1</f>
        <v>1.7982092365692592E-2</v>
      </c>
      <c r="Q25" s="253">
        <f t="shared" si="12"/>
        <v>24812.139639639641</v>
      </c>
      <c r="R25" s="253">
        <f t="shared" si="3"/>
        <v>15194.397742191128</v>
      </c>
      <c r="S25" s="241">
        <f t="shared" si="4"/>
        <v>18462.562121423682</v>
      </c>
      <c r="T25" s="242">
        <f t="shared" si="5"/>
        <v>0</v>
      </c>
      <c r="U25" s="245">
        <f t="shared" si="6"/>
        <v>0</v>
      </c>
      <c r="V25" s="246">
        <f>IF($A25&lt;=$N$4,VLOOKUP(A25,'DOE Fuel Esc Rates'!$T$9:$W$38,2,TRUE),"")</f>
        <v>2024</v>
      </c>
      <c r="W25" s="247">
        <f t="shared" si="7"/>
        <v>683563.08059322345</v>
      </c>
      <c r="X25" s="241">
        <f t="shared" si="8"/>
        <v>508635.12871747732</v>
      </c>
      <c r="Y25" s="248">
        <f>IF(A25&lt;&gt;"",SUM(X$15:X25),"")</f>
        <v>5995060.657501176</v>
      </c>
      <c r="Z25" s="249">
        <f>IF(A25&lt;&gt;"",LCC0!Y25-Y25,"")</f>
        <v>53901.889951245859</v>
      </c>
      <c r="AA25" s="312" t="str">
        <f>IF(A25&lt;&gt;"",IF(Z25&gt;0,IF(SUM(AA$16:AA24)=0,A24+(-Z24)/(Z25-Z24),""),""),"")</f>
        <v/>
      </c>
      <c r="AB25" s="198"/>
      <c r="AC25" s="251">
        <f t="shared" si="9"/>
        <v>683563.08059322345</v>
      </c>
      <c r="AE25" s="198"/>
    </row>
    <row r="26" spans="1:31" x14ac:dyDescent="0.2">
      <c r="A26" s="176">
        <f t="shared" si="13"/>
        <v>11</v>
      </c>
      <c r="B26" s="56"/>
      <c r="C26" s="51">
        <v>0</v>
      </c>
      <c r="D26" s="252">
        <f t="shared" si="10"/>
        <v>0</v>
      </c>
      <c r="E26" s="56"/>
      <c r="F26" s="51">
        <v>0</v>
      </c>
      <c r="G26" s="241">
        <f t="shared" si="0"/>
        <v>0</v>
      </c>
      <c r="H26" s="242">
        <f>IF($A26&lt;=$N$4,H$15*'General Data'!$S18,"")</f>
        <v>641730</v>
      </c>
      <c r="I26" s="243">
        <f>IF(A26&lt;&gt;"",IF(I$15="",VLOOKUP(A26,'DOE Fuel Esc Rates'!$T$9:$W$38,3,TRUE),I$15),"")</f>
        <v>3.9987696093510827E-3</v>
      </c>
      <c r="J26" s="243">
        <f>((1+I26)*(1+'General Data'!$M$25))-1</f>
        <v>5.0027683789604094E-3</v>
      </c>
      <c r="K26" s="253">
        <f t="shared" si="11"/>
        <v>661385.13419640041</v>
      </c>
      <c r="L26" s="253">
        <f t="shared" si="1"/>
        <v>463599.40583172371</v>
      </c>
      <c r="M26" s="241">
        <f t="shared" si="2"/>
        <v>477798.69296960731</v>
      </c>
      <c r="N26" s="242">
        <f>IF($A26&lt;=$N$4,N$15*'General Data'!$S18,"")</f>
        <v>20420</v>
      </c>
      <c r="O26" s="243">
        <f>IF(A26&lt;&gt;"",IF(O$15="",VLOOKUP(A26,'DOE Fuel Esc Rates'!$T$9:$W$38,4,TRUE),O$15),"")</f>
        <v>2.1316033364226161E-2</v>
      </c>
      <c r="P26" s="243">
        <f>((1+O26)*(1+'General Data'!$M$25))-1</f>
        <v>2.2337349397590245E-2</v>
      </c>
      <c r="Q26" s="253">
        <f t="shared" si="12"/>
        <v>25341.036036036039</v>
      </c>
      <c r="R26" s="253">
        <f t="shared" si="3"/>
        <v>14751.842468146726</v>
      </c>
      <c r="S26" s="241">
        <f t="shared" si="4"/>
        <v>18306.903603488394</v>
      </c>
      <c r="T26" s="242">
        <f t="shared" si="5"/>
        <v>0</v>
      </c>
      <c r="U26" s="245">
        <f t="shared" si="6"/>
        <v>0</v>
      </c>
      <c r="V26" s="246">
        <f>IF($A26&lt;=$N$4,VLOOKUP(A26,'DOE Fuel Esc Rates'!$T$9:$W$38,2,TRUE),"")</f>
        <v>2025</v>
      </c>
      <c r="W26" s="247">
        <f t="shared" si="7"/>
        <v>686726.1702324365</v>
      </c>
      <c r="X26" s="241">
        <f t="shared" si="8"/>
        <v>496105.59657309571</v>
      </c>
      <c r="Y26" s="248">
        <f>IF(A26&lt;&gt;"",SUM(X$15:X26),"")</f>
        <v>6491166.2540742718</v>
      </c>
      <c r="Z26" s="249">
        <f>IF(A26&lt;&gt;"",LCC0!Y26-Y26,"")</f>
        <v>69150.337281462736</v>
      </c>
      <c r="AA26" s="312" t="str">
        <f>IF(A26&lt;&gt;"",IF(Z26&gt;0,IF(SUM(AA$16:AA25)=0,A25+(-Z25)/(Z26-Z25),""),""),"")</f>
        <v/>
      </c>
      <c r="AB26" s="198"/>
      <c r="AC26" s="251">
        <f t="shared" si="9"/>
        <v>686726.1702324365</v>
      </c>
      <c r="AE26" s="198"/>
    </row>
    <row r="27" spans="1:31" x14ac:dyDescent="0.2">
      <c r="A27" s="176">
        <f t="shared" si="13"/>
        <v>12</v>
      </c>
      <c r="B27" s="56"/>
      <c r="C27" s="51">
        <v>0</v>
      </c>
      <c r="D27" s="252">
        <f t="shared" si="10"/>
        <v>0</v>
      </c>
      <c r="E27" s="56"/>
      <c r="F27" s="51">
        <v>0</v>
      </c>
      <c r="G27" s="241">
        <f t="shared" si="0"/>
        <v>0</v>
      </c>
      <c r="H27" s="242">
        <f>IF($A27&lt;=$N$4,H$15*'General Data'!$S19,"")</f>
        <v>641730</v>
      </c>
      <c r="I27" s="243">
        <f>IF(A27&lt;&gt;"",IF(I$15="",VLOOKUP(A27,'DOE Fuel Esc Rates'!$T$9:$W$38,3,TRUE),I$15),"")</f>
        <v>1.5318627450979783E-3</v>
      </c>
      <c r="J27" s="243">
        <f>((1+I27)*(1+'General Data'!$M$25))-1</f>
        <v>2.5333946078429648E-3</v>
      </c>
      <c r="K27" s="253">
        <f t="shared" si="11"/>
        <v>662398.28544363752</v>
      </c>
      <c r="L27" s="253">
        <f t="shared" si="1"/>
        <v>450096.51051623671</v>
      </c>
      <c r="M27" s="241">
        <f t="shared" si="2"/>
        <v>464592.83008448937</v>
      </c>
      <c r="N27" s="242">
        <f>IF($A27&lt;=$N$4,N$15*'General Data'!$S19,"")</f>
        <v>20420</v>
      </c>
      <c r="O27" s="243">
        <f>IF(A27&lt;&gt;"",IF(O$15="",VLOOKUP(A27,'DOE Fuel Esc Rates'!$T$9:$W$38,4,TRUE),O$15),"")</f>
        <v>5.4446460980037692E-3</v>
      </c>
      <c r="P27" s="243">
        <f>((1+O27)*(1+'General Data'!$M$25))-1</f>
        <v>6.4500907441016331E-3</v>
      </c>
      <c r="Q27" s="253">
        <f t="shared" si="12"/>
        <v>25479.009009009016</v>
      </c>
      <c r="R27" s="253">
        <f t="shared" si="3"/>
        <v>14322.177153540513</v>
      </c>
      <c r="S27" s="241">
        <f t="shared" si="4"/>
        <v>17870.464286174429</v>
      </c>
      <c r="T27" s="242">
        <f t="shared" si="5"/>
        <v>0</v>
      </c>
      <c r="U27" s="245">
        <f t="shared" si="6"/>
        <v>0</v>
      </c>
      <c r="V27" s="246">
        <f>IF($A27&lt;=$N$4,VLOOKUP(A27,'DOE Fuel Esc Rates'!$T$9:$W$38,2,TRUE),"")</f>
        <v>2026</v>
      </c>
      <c r="W27" s="247">
        <f t="shared" si="7"/>
        <v>687877.29445264651</v>
      </c>
      <c r="X27" s="241">
        <f t="shared" si="8"/>
        <v>482463.29437066382</v>
      </c>
      <c r="Y27" s="248">
        <f>IF(A27&lt;&gt;"",SUM(X$15:X27),"")</f>
        <v>6973629.5484449361</v>
      </c>
      <c r="Z27" s="249">
        <f>IF(A27&lt;&gt;"",LCC0!Y27-Y27,"")</f>
        <v>83994.021242370829</v>
      </c>
      <c r="AA27" s="312" t="str">
        <f>IF(A27&lt;&gt;"",IF(Z27&gt;0,IF(SUM(AA$16:AA26)=0,A26+(-Z26)/(Z27-Z26),""),""),"")</f>
        <v/>
      </c>
      <c r="AB27" s="198"/>
      <c r="AC27" s="251">
        <f t="shared" si="9"/>
        <v>687877.29445264651</v>
      </c>
      <c r="AE27" s="198"/>
    </row>
    <row r="28" spans="1:31" x14ac:dyDescent="0.2">
      <c r="A28" s="176">
        <f t="shared" si="13"/>
        <v>13</v>
      </c>
      <c r="B28" s="56"/>
      <c r="C28" s="51">
        <v>0</v>
      </c>
      <c r="D28" s="252">
        <f t="shared" si="10"/>
        <v>0</v>
      </c>
      <c r="E28" s="56"/>
      <c r="F28" s="51">
        <v>0</v>
      </c>
      <c r="G28" s="241">
        <f t="shared" si="0"/>
        <v>0</v>
      </c>
      <c r="H28" s="242">
        <f>IF($A28&lt;=$N$4,H$15*'General Data'!$S20,"")</f>
        <v>641730</v>
      </c>
      <c r="I28" s="243">
        <f>IF(A28&lt;&gt;"",IF(I$15="",VLOOKUP(A28,'DOE Fuel Esc Rates'!$T$9:$W$38,3,TRUE),I$15),"")</f>
        <v>-4.282655246252709E-3</v>
      </c>
      <c r="J28" s="243">
        <f>((1+I28)*(1+'General Data'!$M$25))-1</f>
        <v>-3.2869379014990319E-3</v>
      </c>
      <c r="K28" s="253">
        <f t="shared" si="11"/>
        <v>659561.46195137349</v>
      </c>
      <c r="L28" s="253">
        <f t="shared" si="1"/>
        <v>436986.90341382206</v>
      </c>
      <c r="M28" s="241">
        <f t="shared" si="2"/>
        <v>449129.26132364722</v>
      </c>
      <c r="N28" s="242">
        <f>IF($A28&lt;=$N$4,N$15*'General Data'!$S20,"")</f>
        <v>20420</v>
      </c>
      <c r="O28" s="243">
        <f>IF(A28&lt;&gt;"",IF(O$15="",VLOOKUP(A28,'DOE Fuel Esc Rates'!$T$9:$W$38,4,TRUE),O$15),"")</f>
        <v>-7.2202166064981865E-3</v>
      </c>
      <c r="P28" s="243">
        <f>((1+O28)*(1+'General Data'!$M$25))-1</f>
        <v>-6.2274368231047816E-3</v>
      </c>
      <c r="Q28" s="253">
        <f t="shared" si="12"/>
        <v>25295.045045045052</v>
      </c>
      <c r="R28" s="253">
        <f t="shared" si="3"/>
        <v>13905.026362660692</v>
      </c>
      <c r="S28" s="241">
        <f t="shared" si="4"/>
        <v>17224.694818611224</v>
      </c>
      <c r="T28" s="242">
        <f t="shared" si="5"/>
        <v>0</v>
      </c>
      <c r="U28" s="245">
        <f t="shared" si="6"/>
        <v>0</v>
      </c>
      <c r="V28" s="246">
        <f>IF($A28&lt;=$N$4,VLOOKUP(A28,'DOE Fuel Esc Rates'!$T$9:$W$38,2,TRUE),"")</f>
        <v>2027</v>
      </c>
      <c r="W28" s="247">
        <f t="shared" si="7"/>
        <v>684856.50699641858</v>
      </c>
      <c r="X28" s="241">
        <f t="shared" si="8"/>
        <v>466353.95614225842</v>
      </c>
      <c r="Y28" s="248">
        <f>IF(A28&lt;&gt;"",SUM(X$15:X28),"")</f>
        <v>7439983.5045871949</v>
      </c>
      <c r="Z28" s="249">
        <f>IF(A28&lt;&gt;"",LCC0!Y28-Y28,"")</f>
        <v>98331.416092918254</v>
      </c>
      <c r="AA28" s="312" t="str">
        <f>IF(A28&lt;&gt;"",IF(Z28&gt;0,IF(SUM(AA$16:AA27)=0,A27+(-Z27)/(Z28-Z27),""),""),"")</f>
        <v/>
      </c>
      <c r="AB28" s="198"/>
      <c r="AC28" s="251">
        <f t="shared" si="9"/>
        <v>684856.50699641858</v>
      </c>
      <c r="AE28" s="198"/>
    </row>
    <row r="29" spans="1:31" x14ac:dyDescent="0.2">
      <c r="A29" s="176">
        <f t="shared" si="13"/>
        <v>14</v>
      </c>
      <c r="B29" s="56"/>
      <c r="C29" s="51">
        <v>0</v>
      </c>
      <c r="D29" s="252">
        <f t="shared" si="10"/>
        <v>0</v>
      </c>
      <c r="E29" s="56"/>
      <c r="F29" s="51">
        <v>0</v>
      </c>
      <c r="G29" s="241">
        <f t="shared" si="0"/>
        <v>0</v>
      </c>
      <c r="H29" s="242">
        <f>IF($A29&lt;=$N$4,H$15*'General Data'!$S21,"")</f>
        <v>641730</v>
      </c>
      <c r="I29" s="243">
        <f>IF(A29&lt;&gt;"",IF(I$15="",VLOOKUP(A29,'DOE Fuel Esc Rates'!$T$9:$W$38,3,TRUE),I$15),"")</f>
        <v>-7.0660522273424675E-3</v>
      </c>
      <c r="J29" s="243">
        <f>((1+I29)*(1+'General Data'!$M$25))-1</f>
        <v>-6.0731182795699112E-3</v>
      </c>
      <c r="K29" s="253">
        <f t="shared" si="11"/>
        <v>654900.96621408279</v>
      </c>
      <c r="L29" s="253">
        <f t="shared" si="1"/>
        <v>424259.12952798256</v>
      </c>
      <c r="M29" s="241">
        <f t="shared" si="2"/>
        <v>432966.6898119481</v>
      </c>
      <c r="N29" s="242">
        <f>IF($A29&lt;=$N$4,N$15*'General Data'!$S21,"")</f>
        <v>20420</v>
      </c>
      <c r="O29" s="243">
        <f>IF(A29&lt;&gt;"",IF(O$15="",VLOOKUP(A29,'DOE Fuel Esc Rates'!$T$9:$W$38,4,TRUE),O$15),"")</f>
        <v>-4.5454545454546302E-3</v>
      </c>
      <c r="P29" s="243">
        <f>((1+O29)*(1+'General Data'!$M$25))-1</f>
        <v>-3.5500000000001641E-3</v>
      </c>
      <c r="Q29" s="253">
        <f t="shared" si="12"/>
        <v>25180.06756756757</v>
      </c>
      <c r="R29" s="253">
        <f t="shared" si="3"/>
        <v>13500.025594816205</v>
      </c>
      <c r="S29" s="241">
        <f t="shared" si="4"/>
        <v>16646.99102063485</v>
      </c>
      <c r="T29" s="242">
        <f t="shared" si="5"/>
        <v>0</v>
      </c>
      <c r="U29" s="245">
        <f t="shared" si="6"/>
        <v>0</v>
      </c>
      <c r="V29" s="246">
        <f>IF($A29&lt;=$N$4,VLOOKUP(A29,'DOE Fuel Esc Rates'!$T$9:$W$38,2,TRUE),"")</f>
        <v>2028</v>
      </c>
      <c r="W29" s="247">
        <f t="shared" si="7"/>
        <v>680081.03378165036</v>
      </c>
      <c r="X29" s="241">
        <f t="shared" si="8"/>
        <v>449613.68083258293</v>
      </c>
      <c r="Y29" s="248">
        <f>IF(A29&lt;&gt;"",SUM(X$15:X29),"")</f>
        <v>7889597.1854197774</v>
      </c>
      <c r="Z29" s="249">
        <f>IF(A29&lt;&gt;"",LCC0!Y29-Y29,"")</f>
        <v>112162.97369970288</v>
      </c>
      <c r="AA29" s="312" t="str">
        <f>IF(A29&lt;&gt;"",IF(Z29&gt;0,IF(SUM(AA$16:AA28)=0,A28+(-Z28)/(Z29-Z28),""),""),"")</f>
        <v/>
      </c>
      <c r="AB29" s="198"/>
      <c r="AC29" s="251">
        <f t="shared" si="9"/>
        <v>680081.03378165036</v>
      </c>
      <c r="AE29" s="198"/>
    </row>
    <row r="30" spans="1:31" x14ac:dyDescent="0.2">
      <c r="A30" s="176">
        <f t="shared" si="13"/>
        <v>15</v>
      </c>
      <c r="B30" s="56" t="s">
        <v>51</v>
      </c>
      <c r="C30" s="51">
        <v>0</v>
      </c>
      <c r="D30" s="252">
        <f t="shared" si="10"/>
        <v>0</v>
      </c>
      <c r="E30" s="56"/>
      <c r="F30" s="51">
        <v>0</v>
      </c>
      <c r="G30" s="241">
        <f t="shared" si="0"/>
        <v>0</v>
      </c>
      <c r="H30" s="242">
        <f>IF($A30&lt;=$N$4,H$15*'General Data'!$S22,"")</f>
        <v>641730</v>
      </c>
      <c r="I30" s="243">
        <f>IF(A30&lt;&gt;"",IF(I$15="",VLOOKUP(A30,'DOE Fuel Esc Rates'!$T$9:$W$38,3,TRUE),I$15),"")</f>
        <v>-2.7846534653466204E-3</v>
      </c>
      <c r="J30" s="243">
        <f>((1+I30)*(1+'General Data'!$M$25))-1</f>
        <v>-1.7874381188121014E-3</v>
      </c>
      <c r="K30" s="253">
        <f t="shared" si="11"/>
        <v>653077.29396905587</v>
      </c>
      <c r="L30" s="253">
        <f t="shared" si="1"/>
        <v>411902.06750289566</v>
      </c>
      <c r="M30" s="241">
        <f t="shared" si="2"/>
        <v>419185.46370755689</v>
      </c>
      <c r="N30" s="242">
        <f>IF($A30&lt;=$N$4,N$15*'General Data'!$S22,"")</f>
        <v>20420</v>
      </c>
      <c r="O30" s="243">
        <f>IF(A30&lt;&gt;"",IF(O$15="",VLOOKUP(A30,'DOE Fuel Esc Rates'!$T$9:$W$38,4,TRUE),O$15),"")</f>
        <v>2.73972602739736E-3</v>
      </c>
      <c r="P30" s="243">
        <f>((1+O30)*(1+'General Data'!$M$25))-1</f>
        <v>3.7424657534246286E-3</v>
      </c>
      <c r="Q30" s="253">
        <f t="shared" si="12"/>
        <v>25249.054054054061</v>
      </c>
      <c r="R30" s="253">
        <f t="shared" si="3"/>
        <v>13106.820965840974</v>
      </c>
      <c r="S30" s="241">
        <f t="shared" si="4"/>
        <v>16206.407005060129</v>
      </c>
      <c r="T30" s="242">
        <f t="shared" si="5"/>
        <v>0</v>
      </c>
      <c r="U30" s="245">
        <f t="shared" si="6"/>
        <v>0</v>
      </c>
      <c r="V30" s="246">
        <f>IF($A30&lt;=$N$4,VLOOKUP(A30,'DOE Fuel Esc Rates'!$T$9:$W$38,2,TRUE),"")</f>
        <v>2029</v>
      </c>
      <c r="W30" s="247">
        <f t="shared" si="7"/>
        <v>678326.34802310995</v>
      </c>
      <c r="X30" s="241">
        <f t="shared" si="8"/>
        <v>435391.870712617</v>
      </c>
      <c r="Y30" s="248">
        <f>IF(A30&lt;&gt;"",SUM(X$15:X30),"")</f>
        <v>8324989.0561323948</v>
      </c>
      <c r="Z30" s="249">
        <f>IF(A30&lt;&gt;"",LCC0!Y30-Y30,"")</f>
        <v>125575.70121431164</v>
      </c>
      <c r="AA30" s="312" t="str">
        <f>IF(A30&lt;&gt;"",IF(Z30&gt;0,IF(SUM(AA$16:AA29)=0,A29+(-Z29)/(Z30-Z29),""),""),"")</f>
        <v/>
      </c>
      <c r="AB30" s="198"/>
      <c r="AC30" s="251">
        <f t="shared" si="9"/>
        <v>678326.34802310995</v>
      </c>
      <c r="AE30" s="198"/>
    </row>
    <row r="31" spans="1:31" x14ac:dyDescent="0.2">
      <c r="A31" s="176">
        <f t="shared" si="13"/>
        <v>16</v>
      </c>
      <c r="B31" s="56"/>
      <c r="C31" s="51">
        <v>0</v>
      </c>
      <c r="D31" s="252">
        <f t="shared" si="10"/>
        <v>0</v>
      </c>
      <c r="E31" s="56"/>
      <c r="F31" s="51">
        <v>0</v>
      </c>
      <c r="G31" s="241">
        <f t="shared" si="0"/>
        <v>0</v>
      </c>
      <c r="H31" s="242">
        <f>IF($A31&lt;=$N$4,H$15*'General Data'!$S23,"")</f>
        <v>641730</v>
      </c>
      <c r="I31" s="243">
        <f>IF(A31&lt;&gt;"",IF(I$15="",VLOOKUP(A31,'DOE Fuel Esc Rates'!$T$9:$W$38,3,TRUE),I$15),"")</f>
        <v>-1.2410797393732631E-3</v>
      </c>
      <c r="J31" s="243">
        <f>((1+I31)*(1+'General Data'!$M$25))-1</f>
        <v>-2.4232081911279568E-4</v>
      </c>
      <c r="K31" s="253">
        <f t="shared" si="11"/>
        <v>652266.77297126618</v>
      </c>
      <c r="L31" s="253">
        <f t="shared" si="1"/>
        <v>399904.919905724</v>
      </c>
      <c r="M31" s="241">
        <f t="shared" si="2"/>
        <v>406471.08846748515</v>
      </c>
      <c r="N31" s="242">
        <f>IF($A31&lt;=$N$4,N$15*'General Data'!$S23,"")</f>
        <v>20420</v>
      </c>
      <c r="O31" s="243">
        <f>IF(A31&lt;&gt;"",IF(O$15="",VLOOKUP(A31,'DOE Fuel Esc Rates'!$T$9:$W$38,4,TRUE),O$15),"")</f>
        <v>8.1967213114753079E-3</v>
      </c>
      <c r="P31" s="243">
        <f>((1+O31)*(1+'General Data'!$M$25))-1</f>
        <v>9.2049180327866686E-3</v>
      </c>
      <c r="Q31" s="253">
        <f t="shared" si="12"/>
        <v>25456.013513513517</v>
      </c>
      <c r="R31" s="253">
        <f t="shared" si="3"/>
        <v>12725.068898874735</v>
      </c>
      <c r="S31" s="241">
        <f t="shared" si="4"/>
        <v>15863.346025962088</v>
      </c>
      <c r="T31" s="242">
        <f t="shared" si="5"/>
        <v>0</v>
      </c>
      <c r="U31" s="245">
        <f t="shared" si="6"/>
        <v>0</v>
      </c>
      <c r="V31" s="246">
        <f>IF($A31&lt;=$N$4,VLOOKUP(A31,'DOE Fuel Esc Rates'!$T$9:$W$38,2,TRUE),"")</f>
        <v>2030</v>
      </c>
      <c r="W31" s="247">
        <f t="shared" si="7"/>
        <v>677722.78648477967</v>
      </c>
      <c r="X31" s="241">
        <f t="shared" si="8"/>
        <v>422334.43449344725</v>
      </c>
      <c r="Y31" s="248">
        <f>IF(A31&lt;&gt;"",SUM(X$15:X31),"")</f>
        <v>8747323.4906258415</v>
      </c>
      <c r="Z31" s="249">
        <f>IF(A31&lt;&gt;"",LCC0!Y31-Y31,"")</f>
        <v>138617.23902089335</v>
      </c>
      <c r="AA31" s="312" t="str">
        <f>IF(A31&lt;&gt;"",IF(Z31&gt;0,IF(SUM(AA$16:AA30)=0,A30+(-Z30)/(Z31-Z30),""),""),"")</f>
        <v/>
      </c>
      <c r="AB31" s="198"/>
      <c r="AC31" s="251">
        <f t="shared" si="9"/>
        <v>677722.78648477967</v>
      </c>
      <c r="AE31" s="198"/>
    </row>
    <row r="32" spans="1:31" x14ac:dyDescent="0.2">
      <c r="A32" s="176">
        <f t="shared" si="13"/>
        <v>17</v>
      </c>
      <c r="B32" s="56"/>
      <c r="C32" s="51">
        <v>0</v>
      </c>
      <c r="D32" s="252">
        <f t="shared" si="10"/>
        <v>0</v>
      </c>
      <c r="E32" s="56"/>
      <c r="F32" s="51">
        <v>0</v>
      </c>
      <c r="G32" s="241">
        <f t="shared" si="0"/>
        <v>0</v>
      </c>
      <c r="H32" s="242">
        <f>IF($A32&lt;=$N$4,H$15*'General Data'!$S24,"")</f>
        <v>641730</v>
      </c>
      <c r="I32" s="243">
        <f>IF(A32&lt;&gt;"",IF(I$15="",VLOOKUP(A32,'DOE Fuel Esc Rates'!$T$9:$W$38,3,TRUE),I$15),"")</f>
        <v>0</v>
      </c>
      <c r="J32" s="243">
        <f>((1+I32)*(1+'General Data'!$M$25))-1</f>
        <v>9.9999999999988987E-4</v>
      </c>
      <c r="K32" s="253">
        <f t="shared" si="11"/>
        <v>652266.77297126618</v>
      </c>
      <c r="L32" s="253">
        <f t="shared" si="1"/>
        <v>388257.20379196503</v>
      </c>
      <c r="M32" s="241">
        <f t="shared" si="2"/>
        <v>394632.12472571374</v>
      </c>
      <c r="N32" s="242">
        <f>IF($A32&lt;=$N$4,N$15*'General Data'!$S24,"")</f>
        <v>20420</v>
      </c>
      <c r="O32" s="243">
        <f>IF(A32&lt;&gt;"",IF(O$15="",VLOOKUP(A32,'DOE Fuel Esc Rates'!$T$9:$W$38,4,TRUE),O$15),"")</f>
        <v>1.6260162601625883E-2</v>
      </c>
      <c r="P32" s="243">
        <f>((1+O32)*(1+'General Data'!$M$25))-1</f>
        <v>1.7276422764227473E-2</v>
      </c>
      <c r="Q32" s="253">
        <f t="shared" si="12"/>
        <v>25869.932432432433</v>
      </c>
      <c r="R32" s="253">
        <f t="shared" si="3"/>
        <v>12354.435824150229</v>
      </c>
      <c r="S32" s="241">
        <f t="shared" si="4"/>
        <v>15651.734574514649</v>
      </c>
      <c r="T32" s="242">
        <f t="shared" si="5"/>
        <v>0</v>
      </c>
      <c r="U32" s="245">
        <f t="shared" si="6"/>
        <v>0</v>
      </c>
      <c r="V32" s="246">
        <f>IF($A32&lt;=$N$4,VLOOKUP(A32,'DOE Fuel Esc Rates'!$T$9:$W$38,2,TRUE),"")</f>
        <v>2031</v>
      </c>
      <c r="W32" s="247">
        <f t="shared" si="7"/>
        <v>678136.70540369861</v>
      </c>
      <c r="X32" s="241">
        <f t="shared" si="8"/>
        <v>410283.85930022842</v>
      </c>
      <c r="Y32" s="248">
        <f>IF(A32&lt;&gt;"",SUM(X$15:X32),"")</f>
        <v>9157607.3499260694</v>
      </c>
      <c r="Z32" s="249">
        <f>IF(A32&lt;&gt;"",LCC0!Y32-Y32,"")</f>
        <v>151339.01906143874</v>
      </c>
      <c r="AA32" s="312" t="str">
        <f>IF(A32&lt;&gt;"",IF(Z32&gt;0,IF(SUM(AA$16:AA31)=0,A31+(-Z31)/(Z32-Z31),""),""),"")</f>
        <v/>
      </c>
      <c r="AB32" s="198"/>
      <c r="AC32" s="251">
        <f t="shared" si="9"/>
        <v>678136.70540369861</v>
      </c>
      <c r="AE32" s="198"/>
    </row>
    <row r="33" spans="1:31" x14ac:dyDescent="0.2">
      <c r="A33" s="176">
        <f t="shared" si="13"/>
        <v>18</v>
      </c>
      <c r="B33" s="56"/>
      <c r="C33" s="51">
        <v>0</v>
      </c>
      <c r="D33" s="252">
        <f t="shared" si="10"/>
        <v>0</v>
      </c>
      <c r="E33" s="56"/>
      <c r="F33" s="51">
        <v>0</v>
      </c>
      <c r="G33" s="241">
        <f t="shared" si="0"/>
        <v>0</v>
      </c>
      <c r="H33" s="242">
        <f>IF($A33&lt;=$N$4,H$15*'General Data'!$S25,"")</f>
        <v>641730</v>
      </c>
      <c r="I33" s="243">
        <f>IF(A33&lt;&gt;"",IF(I$15="",VLOOKUP(A33,'DOE Fuel Esc Rates'!$T$9:$W$38,3,TRUE),I$15),"")</f>
        <v>2.1745883814849876E-3</v>
      </c>
      <c r="J33" s="243">
        <f>((1+I33)*(1+'General Data'!$M$25))-1</f>
        <v>3.1767629698664646E-3</v>
      </c>
      <c r="K33" s="253">
        <f t="shared" si="11"/>
        <v>653685.18471739825</v>
      </c>
      <c r="L33" s="253">
        <f t="shared" si="1"/>
        <v>376948.74154559715</v>
      </c>
      <c r="M33" s="241">
        <f t="shared" si="2"/>
        <v>383971.15258165344</v>
      </c>
      <c r="N33" s="242">
        <f>IF($A33&lt;=$N$4,N$15*'General Data'!$S25,"")</f>
        <v>20420</v>
      </c>
      <c r="O33" s="243">
        <f>IF(A33&lt;&gt;"",IF(O$15="",VLOOKUP(A33,'DOE Fuel Esc Rates'!$T$9:$W$38,4,TRUE),O$15),"")</f>
        <v>1.3333333333333419E-2</v>
      </c>
      <c r="P33" s="243">
        <f>((1+O33)*(1+'General Data'!$M$25))-1</f>
        <v>1.434666666666673E-2</v>
      </c>
      <c r="Q33" s="253">
        <f t="shared" si="12"/>
        <v>26214.864864864867</v>
      </c>
      <c r="R33" s="253">
        <f t="shared" si="3"/>
        <v>11994.597887524493</v>
      </c>
      <c r="S33" s="241">
        <f t="shared" si="4"/>
        <v>15398.470261011174</v>
      </c>
      <c r="T33" s="242">
        <f t="shared" si="5"/>
        <v>0</v>
      </c>
      <c r="U33" s="245">
        <f t="shared" si="6"/>
        <v>0</v>
      </c>
      <c r="V33" s="246">
        <f>IF($A33&lt;=$N$4,VLOOKUP(A33,'DOE Fuel Esc Rates'!$T$9:$W$38,2,TRUE),"")</f>
        <v>2032</v>
      </c>
      <c r="W33" s="247">
        <f t="shared" si="7"/>
        <v>679900.04958226311</v>
      </c>
      <c r="X33" s="241">
        <f t="shared" si="8"/>
        <v>399369.6228426646</v>
      </c>
      <c r="Y33" s="248">
        <f>IF(A33&lt;&gt;"",SUM(X$15:X33),"")</f>
        <v>9556976.9727687333</v>
      </c>
      <c r="Z33" s="249">
        <f>IF(A33&lt;&gt;"",LCC0!Y33-Y33,"")</f>
        <v>163757.81005615555</v>
      </c>
      <c r="AA33" s="312" t="str">
        <f>IF(A33&lt;&gt;"",IF(Z33&gt;0,IF(SUM(AA$16:AA32)=0,A32+(-Z32)/(Z33-Z32),""),""),"")</f>
        <v/>
      </c>
      <c r="AB33" s="198"/>
      <c r="AC33" s="251">
        <f t="shared" si="9"/>
        <v>679900.04958226311</v>
      </c>
      <c r="AE33" s="198"/>
    </row>
    <row r="34" spans="1:31" x14ac:dyDescent="0.2">
      <c r="A34" s="176">
        <f t="shared" si="13"/>
        <v>19</v>
      </c>
      <c r="B34" s="56"/>
      <c r="C34" s="51">
        <v>0</v>
      </c>
      <c r="D34" s="252">
        <f t="shared" si="10"/>
        <v>0</v>
      </c>
      <c r="E34" s="56"/>
      <c r="F34" s="51">
        <v>0</v>
      </c>
      <c r="G34" s="241">
        <f t="shared" si="0"/>
        <v>0</v>
      </c>
      <c r="H34" s="242">
        <f>IF($A34&lt;=$N$4,H$15*'General Data'!$S26,"")</f>
        <v>641730</v>
      </c>
      <c r="I34" s="243">
        <f>IF(A34&lt;&gt;"",IF(I$15="",VLOOKUP(A34,'DOE Fuel Esc Rates'!$T$9:$W$38,3,TRUE),I$15),"")</f>
        <v>1.2399256044637319E-3</v>
      </c>
      <c r="J34" s="243">
        <f>((1+I34)*(1+'General Data'!$M$25))-1</f>
        <v>2.2411655300680344E-3</v>
      </c>
      <c r="K34" s="253">
        <f t="shared" si="11"/>
        <v>654495.70571518794</v>
      </c>
      <c r="L34" s="253">
        <f t="shared" si="1"/>
        <v>365969.65198601666</v>
      </c>
      <c r="M34" s="241">
        <f t="shared" si="2"/>
        <v>373249.75557778147</v>
      </c>
      <c r="N34" s="242">
        <f>IF($A34&lt;=$N$4,N$15*'General Data'!$S26,"")</f>
        <v>20420</v>
      </c>
      <c r="O34" s="243">
        <f>IF(A34&lt;&gt;"",IF(O$15="",VLOOKUP(A34,'DOE Fuel Esc Rates'!$T$9:$W$38,4,TRUE),O$15),"")</f>
        <v>1.2280701754385781E-2</v>
      </c>
      <c r="P34" s="243">
        <f>((1+O34)*(1+'General Data'!$M$25))-1</f>
        <v>1.3292982456140079E-2</v>
      </c>
      <c r="Q34" s="253">
        <f t="shared" si="12"/>
        <v>26536.801801801797</v>
      </c>
      <c r="R34" s="253">
        <f t="shared" si="3"/>
        <v>11645.240667499509</v>
      </c>
      <c r="S34" s="241">
        <f t="shared" si="4"/>
        <v>15133.56726384508</v>
      </c>
      <c r="T34" s="242">
        <f t="shared" si="5"/>
        <v>0</v>
      </c>
      <c r="U34" s="245">
        <f t="shared" si="6"/>
        <v>0</v>
      </c>
      <c r="V34" s="246">
        <f>IF($A34&lt;=$N$4,VLOOKUP(A34,'DOE Fuel Esc Rates'!$T$9:$W$38,2,TRUE),"")</f>
        <v>2033</v>
      </c>
      <c r="W34" s="247">
        <f t="shared" si="7"/>
        <v>681032.50751698972</v>
      </c>
      <c r="X34" s="241">
        <f t="shared" si="8"/>
        <v>388383.32284162653</v>
      </c>
      <c r="Y34" s="248">
        <f>IF(A34&lt;&gt;"",SUM(X$15:X34),"")</f>
        <v>9945360.2956103589</v>
      </c>
      <c r="Z34" s="249">
        <f>IF(A34&lt;&gt;"",LCC0!Y34-Y34,"")</f>
        <v>175869.44633406401</v>
      </c>
      <c r="AA34" s="312" t="str">
        <f>IF(A34&lt;&gt;"",IF(Z34&gt;0,IF(SUM(AA$16:AA33)=0,A33+(-Z33)/(Z34-Z33),""),""),"")</f>
        <v/>
      </c>
      <c r="AB34" s="198"/>
      <c r="AC34" s="251">
        <f t="shared" si="9"/>
        <v>681032.50751698972</v>
      </c>
      <c r="AE34" s="198"/>
    </row>
    <row r="35" spans="1:31" x14ac:dyDescent="0.2">
      <c r="A35" s="176">
        <f t="shared" si="13"/>
        <v>20</v>
      </c>
      <c r="B35" s="56"/>
      <c r="C35" s="51">
        <v>0</v>
      </c>
      <c r="D35" s="252">
        <f t="shared" si="10"/>
        <v>0</v>
      </c>
      <c r="E35" s="56" t="s">
        <v>50</v>
      </c>
      <c r="F35" s="51">
        <v>0</v>
      </c>
      <c r="G35" s="241">
        <f t="shared" si="0"/>
        <v>0</v>
      </c>
      <c r="H35" s="242">
        <f>IF($A35&lt;=$N$4,H$15*'General Data'!$S27,"")</f>
        <v>641730</v>
      </c>
      <c r="I35" s="243">
        <f>IF(A35&lt;&gt;"",IF(I$15="",VLOOKUP(A35,'DOE Fuel Esc Rates'!$T$9:$W$38,3,TRUE),I$15),"")</f>
        <v>2.1671826625386803E-3</v>
      </c>
      <c r="J35" s="243">
        <f>((1+I35)*(1+'General Data'!$M$25))-1</f>
        <v>3.1693498452010083E-3</v>
      </c>
      <c r="K35" s="253">
        <f t="shared" si="11"/>
        <v>655914.1174613199</v>
      </c>
      <c r="L35" s="253">
        <f t="shared" si="1"/>
        <v>355310.34173399676</v>
      </c>
      <c r="M35" s="241">
        <f t="shared" si="2"/>
        <v>363163.74366686057</v>
      </c>
      <c r="N35" s="242">
        <f>IF($A35&lt;=$N$4,N$15*'General Data'!$S27,"")</f>
        <v>20420</v>
      </c>
      <c r="O35" s="243">
        <f>IF(A35&lt;&gt;"",IF(O$15="",VLOOKUP(A35,'DOE Fuel Esc Rates'!$T$9:$W$38,4,TRUE),O$15),"")</f>
        <v>1.7331022530329365E-2</v>
      </c>
      <c r="P35" s="243">
        <f>((1+O35)*(1+'General Data'!$M$25))-1</f>
        <v>1.8348353552859686E-2</v>
      </c>
      <c r="Q35" s="253">
        <f t="shared" si="12"/>
        <v>26996.711711711709</v>
      </c>
      <c r="R35" s="253">
        <f t="shared" si="3"/>
        <v>11306.058900484961</v>
      </c>
      <c r="S35" s="241">
        <f t="shared" si="4"/>
        <v>14947.424717533042</v>
      </c>
      <c r="T35" s="242">
        <f t="shared" si="5"/>
        <v>0</v>
      </c>
      <c r="U35" s="245">
        <f t="shared" si="6"/>
        <v>0</v>
      </c>
      <c r="V35" s="246">
        <f>IF($A35&lt;=$N$4,VLOOKUP(A35,'DOE Fuel Esc Rates'!$T$9:$W$38,2,TRUE),"")</f>
        <v>2034</v>
      </c>
      <c r="W35" s="247">
        <f t="shared" si="7"/>
        <v>682910.82917303161</v>
      </c>
      <c r="X35" s="241">
        <f t="shared" si="8"/>
        <v>378111.16838439362</v>
      </c>
      <c r="Y35" s="248">
        <f>IF(A35&lt;&gt;"",SUM(X$15:X35),"")</f>
        <v>10323471.463994753</v>
      </c>
      <c r="Z35" s="249">
        <f>IF(A35&lt;&gt;"",LCC0!Y35-Y35,"")</f>
        <v>187707.26316250488</v>
      </c>
      <c r="AA35" s="312" t="str">
        <f>IF(A35&lt;&gt;"",IF(Z35&gt;0,IF(SUM(AA$16:AA34)=0,A34+(-Z34)/(Z35-Z34),""),""),"")</f>
        <v/>
      </c>
      <c r="AB35" s="198"/>
      <c r="AC35" s="251">
        <f t="shared" si="9"/>
        <v>682910.82917303161</v>
      </c>
      <c r="AE35" s="198"/>
    </row>
    <row r="36" spans="1:31" x14ac:dyDescent="0.2">
      <c r="A36" s="176">
        <f t="shared" si="13"/>
        <v>21</v>
      </c>
      <c r="B36" s="56"/>
      <c r="C36" s="51">
        <v>0</v>
      </c>
      <c r="D36" s="252">
        <f t="shared" si="10"/>
        <v>0</v>
      </c>
      <c r="E36" s="56"/>
      <c r="F36" s="51">
        <v>0</v>
      </c>
      <c r="G36" s="241">
        <f t="shared" si="0"/>
        <v>0</v>
      </c>
      <c r="H36" s="242">
        <f>IF($A36&lt;=$N$4,H$15*'General Data'!$S28,"")</f>
        <v>641730</v>
      </c>
      <c r="I36" s="243">
        <f>IF(A36&lt;&gt;"",IF(I$15="",VLOOKUP(A36,'DOE Fuel Esc Rates'!$T$9:$W$38,3,TRUE),I$15),"")</f>
        <v>2.780352177942591E-3</v>
      </c>
      <c r="J36" s="243">
        <f>((1+I36)*(1+'General Data'!$M$25))-1</f>
        <v>3.7831325301205254E-3</v>
      </c>
      <c r="K36" s="253">
        <f t="shared" si="11"/>
        <v>657737.78970634681</v>
      </c>
      <c r="L36" s="253">
        <f t="shared" si="1"/>
        <v>344961.49682912306</v>
      </c>
      <c r="M36" s="241">
        <f t="shared" si="2"/>
        <v>353566.47259467439</v>
      </c>
      <c r="N36" s="242">
        <f>IF($A36&lt;=$N$4,N$15*'General Data'!$S28,"")</f>
        <v>20420</v>
      </c>
      <c r="O36" s="243">
        <f>IF(A36&lt;&gt;"",IF(O$15="",VLOOKUP(A36,'DOE Fuel Esc Rates'!$T$9:$W$38,4,TRUE),O$15),"")</f>
        <v>1.7035775127768327E-2</v>
      </c>
      <c r="P36" s="243">
        <f>((1+O36)*(1+'General Data'!$M$25))-1</f>
        <v>1.8052810902895899E-2</v>
      </c>
      <c r="Q36" s="253">
        <f t="shared" si="12"/>
        <v>27456.62162162162</v>
      </c>
      <c r="R36" s="253">
        <f t="shared" si="3"/>
        <v>10976.756214063069</v>
      </c>
      <c r="S36" s="241">
        <f t="shared" si="4"/>
        <v>14759.287071611829</v>
      </c>
      <c r="T36" s="242">
        <f t="shared" si="5"/>
        <v>0</v>
      </c>
      <c r="U36" s="245">
        <f t="shared" si="6"/>
        <v>0</v>
      </c>
      <c r="V36" s="246">
        <f>IF($A36&lt;=$N$4,VLOOKUP(A36,'DOE Fuel Esc Rates'!$T$9:$W$38,2,TRUE),"")</f>
        <v>2035</v>
      </c>
      <c r="W36" s="247">
        <f t="shared" si="7"/>
        <v>685194.41132796847</v>
      </c>
      <c r="X36" s="241">
        <f t="shared" si="8"/>
        <v>368325.75966628623</v>
      </c>
      <c r="Y36" s="248">
        <f>IF(A36&lt;&gt;"",SUM(X$15:X36),"")</f>
        <v>10691797.223661039</v>
      </c>
      <c r="Z36" s="249">
        <f>IF(A36&lt;&gt;"",LCC0!Y36-Y36,"")</f>
        <v>199281.88590716571</v>
      </c>
      <c r="AA36" s="312" t="str">
        <f>IF(A36&lt;&gt;"",IF(Z36&gt;0,IF(SUM(AA$16:AA35)=0,A35+(-Z35)/(Z36-Z35),""),""),"")</f>
        <v/>
      </c>
      <c r="AB36" s="198"/>
      <c r="AC36" s="251">
        <f t="shared" si="9"/>
        <v>685194.41132796847</v>
      </c>
      <c r="AE36" s="198"/>
    </row>
    <row r="37" spans="1:31" x14ac:dyDescent="0.2">
      <c r="A37" s="176">
        <f t="shared" si="13"/>
        <v>22</v>
      </c>
      <c r="B37" s="56"/>
      <c r="C37" s="51">
        <v>0</v>
      </c>
      <c r="D37" s="252">
        <f t="shared" si="10"/>
        <v>0</v>
      </c>
      <c r="E37" s="56"/>
      <c r="F37" s="51">
        <v>0</v>
      </c>
      <c r="G37" s="241">
        <f t="shared" si="0"/>
        <v>0</v>
      </c>
      <c r="H37" s="242">
        <f>IF($A37&lt;=$N$4,H$15*'General Data'!$S29,"")</f>
        <v>641730</v>
      </c>
      <c r="I37" s="243">
        <f>IF(A37&lt;&gt;"",IF(I$15="",VLOOKUP(A37,'DOE Fuel Esc Rates'!$T$9:$W$38,3,TRUE),I$15),"")</f>
        <v>4.6210720887245316E-3</v>
      </c>
      <c r="J37" s="243">
        <f>((1+I37)*(1+'General Data'!$M$25))-1</f>
        <v>5.6256931608131833E-3</v>
      </c>
      <c r="K37" s="253">
        <f t="shared" si="11"/>
        <v>660777.24344805814</v>
      </c>
      <c r="L37" s="253">
        <f t="shared" si="1"/>
        <v>334914.07459138159</v>
      </c>
      <c r="M37" s="241">
        <f t="shared" si="2"/>
        <v>344854.68810940813</v>
      </c>
      <c r="N37" s="242">
        <f>IF($A37&lt;=$N$4,N$15*'General Data'!$S29,"")</f>
        <v>20420</v>
      </c>
      <c r="O37" s="243">
        <f>IF(A37&lt;&gt;"",IF(O$15="",VLOOKUP(A37,'DOE Fuel Esc Rates'!$T$9:$W$38,4,TRUE),O$15),"")</f>
        <v>1.0050251256281451E-2</v>
      </c>
      <c r="P37" s="243">
        <f>((1+O37)*(1+'General Data'!$M$25))-1</f>
        <v>1.1060301507537673E-2</v>
      </c>
      <c r="Q37" s="253">
        <f t="shared" si="12"/>
        <v>27732.567567567567</v>
      </c>
      <c r="R37" s="253">
        <f t="shared" si="3"/>
        <v>10657.044868022396</v>
      </c>
      <c r="S37" s="241">
        <f t="shared" si="4"/>
        <v>14473.41904373312</v>
      </c>
      <c r="T37" s="242">
        <f t="shared" si="5"/>
        <v>0</v>
      </c>
      <c r="U37" s="245">
        <f t="shared" si="6"/>
        <v>0</v>
      </c>
      <c r="V37" s="246">
        <f>IF($A37&lt;=$N$4,VLOOKUP(A37,'DOE Fuel Esc Rates'!$T$9:$W$38,2,TRUE),"")</f>
        <v>2036</v>
      </c>
      <c r="W37" s="247">
        <f t="shared" si="7"/>
        <v>688509.81101562572</v>
      </c>
      <c r="X37" s="241">
        <f t="shared" si="8"/>
        <v>359328.10715314123</v>
      </c>
      <c r="Y37" s="248">
        <f>IF(A37&lt;&gt;"",SUM(X$15:X37),"")</f>
        <v>11051125.330814181</v>
      </c>
      <c r="Z37" s="249">
        <f>IF(A37&lt;&gt;"",LCC0!Y37-Y37,"")</f>
        <v>210589.98121473007</v>
      </c>
      <c r="AA37" s="312" t="str">
        <f>IF(A37&lt;&gt;"",IF(Z37&gt;0,IF(SUM(AA$16:AA36)=0,A36+(-Z36)/(Z37-Z36),""),""),"")</f>
        <v/>
      </c>
      <c r="AB37" s="198"/>
      <c r="AC37" s="251">
        <f t="shared" si="9"/>
        <v>688509.81101562572</v>
      </c>
      <c r="AE37" s="198"/>
    </row>
    <row r="38" spans="1:31" x14ac:dyDescent="0.2">
      <c r="A38" s="176">
        <f t="shared" si="13"/>
        <v>23</v>
      </c>
      <c r="B38" s="56"/>
      <c r="C38" s="51">
        <v>0</v>
      </c>
      <c r="D38" s="252">
        <f t="shared" si="10"/>
        <v>0</v>
      </c>
      <c r="E38" s="56"/>
      <c r="F38" s="51">
        <v>0</v>
      </c>
      <c r="G38" s="241">
        <f t="shared" si="0"/>
        <v>0</v>
      </c>
      <c r="H38" s="242">
        <f>IF($A38&lt;=$N$4,H$15*'General Data'!$S30,"")</f>
        <v>641730</v>
      </c>
      <c r="I38" s="243">
        <f>IF(A38&lt;&gt;"",IF(I$15="",VLOOKUP(A38,'DOE Fuel Esc Rates'!$T$9:$W$38,3,TRUE),I$15),"")</f>
        <v>4.9064704078505272E-3</v>
      </c>
      <c r="J38" s="243">
        <f>((1+I38)*(1+'General Data'!$M$25))-1</f>
        <v>5.9113768782581566E-3</v>
      </c>
      <c r="K38" s="253">
        <f t="shared" si="11"/>
        <v>664019.32743921713</v>
      </c>
      <c r="L38" s="253">
        <f t="shared" si="1"/>
        <v>325159.29571978794</v>
      </c>
      <c r="M38" s="241">
        <f t="shared" si="2"/>
        <v>336453.11401128687</v>
      </c>
      <c r="N38" s="242">
        <f>IF($A38&lt;=$N$4,N$15*'General Data'!$S30,"")</f>
        <v>20420</v>
      </c>
      <c r="O38" s="243">
        <f>IF(A38&lt;&gt;"",IF(O$15="",VLOOKUP(A38,'DOE Fuel Esc Rates'!$T$9:$W$38,4,TRUE),O$15),"")</f>
        <v>1.8242122719734466E-2</v>
      </c>
      <c r="P38" s="243">
        <f>((1+O38)*(1+'General Data'!$M$25))-1</f>
        <v>1.9260364842454081E-2</v>
      </c>
      <c r="Q38" s="253">
        <f t="shared" si="12"/>
        <v>28238.468468468462</v>
      </c>
      <c r="R38" s="253">
        <f t="shared" si="3"/>
        <v>10346.645502934365</v>
      </c>
      <c r="S38" s="241">
        <f t="shared" si="4"/>
        <v>14308.198961265087</v>
      </c>
      <c r="T38" s="242">
        <f t="shared" si="5"/>
        <v>0</v>
      </c>
      <c r="U38" s="245">
        <f t="shared" si="6"/>
        <v>0</v>
      </c>
      <c r="V38" s="246">
        <f>IF($A38&lt;=$N$4,VLOOKUP(A38,'DOE Fuel Esc Rates'!$T$9:$W$38,2,TRUE),"")</f>
        <v>2037</v>
      </c>
      <c r="W38" s="247">
        <f t="shared" si="7"/>
        <v>692257.79590768553</v>
      </c>
      <c r="X38" s="241">
        <f t="shared" si="8"/>
        <v>350761.31297255197</v>
      </c>
      <c r="Y38" s="248">
        <f>IF(A38&lt;&gt;"",SUM(X$15:X38),"")</f>
        <v>11401886.643786732</v>
      </c>
      <c r="Z38" s="249">
        <f>IF(A38&lt;&gt;"",LCC0!Y38-Y38,"")</f>
        <v>221667.54779438861</v>
      </c>
      <c r="AA38" s="312" t="str">
        <f>IF(A38&lt;&gt;"",IF(Z38&gt;0,IF(SUM(AA$16:AA37)=0,A37+(-Z37)/(Z38-Z37),""),""),"")</f>
        <v/>
      </c>
      <c r="AB38" s="198"/>
      <c r="AC38" s="251">
        <f t="shared" si="9"/>
        <v>692257.79590768553</v>
      </c>
      <c r="AE38" s="198"/>
    </row>
    <row r="39" spans="1:31" x14ac:dyDescent="0.2">
      <c r="A39" s="176">
        <f t="shared" si="13"/>
        <v>24</v>
      </c>
      <c r="B39" s="56"/>
      <c r="C39" s="51">
        <v>0</v>
      </c>
      <c r="D39" s="252">
        <f t="shared" si="10"/>
        <v>0</v>
      </c>
      <c r="E39" s="56"/>
      <c r="F39" s="51">
        <v>0</v>
      </c>
      <c r="G39" s="241">
        <f t="shared" si="0"/>
        <v>0</v>
      </c>
      <c r="H39" s="242">
        <f>IF($A39&lt;=$N$4,H$15*'General Data'!$S31,"")</f>
        <v>641730</v>
      </c>
      <c r="I39" s="243">
        <f>IF(A39&lt;&gt;"",IF(I$15="",VLOOKUP(A39,'DOE Fuel Esc Rates'!$T$9:$W$38,3,TRUE),I$15),"")</f>
        <v>4.8825144949649069E-3</v>
      </c>
      <c r="J39" s="243">
        <f>((1+I39)*(1+'General Data'!$M$25))-1</f>
        <v>5.8873970094597272E-3</v>
      </c>
      <c r="K39" s="253">
        <f t="shared" si="11"/>
        <v>667261.411430376</v>
      </c>
      <c r="L39" s="253">
        <f t="shared" si="1"/>
        <v>315688.63662115339</v>
      </c>
      <c r="M39" s="241">
        <f t="shared" si="2"/>
        <v>328248.3992401195</v>
      </c>
      <c r="N39" s="242">
        <f>IF($A39&lt;=$N$4,N$15*'General Data'!$S31,"")</f>
        <v>20420</v>
      </c>
      <c r="O39" s="243">
        <f>IF(A39&lt;&gt;"",IF(O$15="",VLOOKUP(A39,'DOE Fuel Esc Rates'!$T$9:$W$38,4,TRUE),O$15),"")</f>
        <v>2.6058631921824116E-2</v>
      </c>
      <c r="P39" s="243">
        <f>((1+O39)*(1+'General Data'!$M$25))-1</f>
        <v>2.7084690553745849E-2</v>
      </c>
      <c r="Q39" s="253">
        <f t="shared" si="12"/>
        <v>28974.324324324316</v>
      </c>
      <c r="R39" s="253">
        <f t="shared" si="3"/>
        <v>10045.286896052783</v>
      </c>
      <c r="S39" s="241">
        <f t="shared" si="4"/>
        <v>14253.447622777594</v>
      </c>
      <c r="T39" s="242">
        <f t="shared" si="5"/>
        <v>0</v>
      </c>
      <c r="U39" s="245">
        <f t="shared" si="6"/>
        <v>0</v>
      </c>
      <c r="V39" s="246">
        <f>IF($A39&lt;=$N$4,VLOOKUP(A39,'DOE Fuel Esc Rates'!$T$9:$W$38,2,TRUE),"")</f>
        <v>2038</v>
      </c>
      <c r="W39" s="247">
        <f t="shared" si="7"/>
        <v>696235.73575470026</v>
      </c>
      <c r="X39" s="241">
        <f t="shared" si="8"/>
        <v>342501.8468628971</v>
      </c>
      <c r="Y39" s="248">
        <f>IF(A39&lt;&gt;"",SUM(X$15:X39),"")</f>
        <v>11744388.490649629</v>
      </c>
      <c r="Z39" s="249">
        <f>IF(A39&lt;&gt;"",LCC0!Y39-Y39,"")</f>
        <v>232545.56642834656</v>
      </c>
      <c r="AA39" s="312" t="str">
        <f>IF(A39&lt;&gt;"",IF(Z39&gt;0,IF(SUM(AA$16:AA38)=0,A38+(-Z38)/(Z39-Z38),""),""),"")</f>
        <v/>
      </c>
      <c r="AB39" s="198"/>
      <c r="AC39" s="251">
        <f t="shared" si="9"/>
        <v>696235.73575470026</v>
      </c>
      <c r="AE39" s="198"/>
    </row>
    <row r="40" spans="1:31" x14ac:dyDescent="0.2">
      <c r="A40" s="176">
        <f t="shared" si="13"/>
        <v>25</v>
      </c>
      <c r="B40" s="56" t="s">
        <v>52</v>
      </c>
      <c r="C40" s="51">
        <v>0</v>
      </c>
      <c r="D40" s="252">
        <f t="shared" si="10"/>
        <v>0</v>
      </c>
      <c r="E40" s="56"/>
      <c r="F40" s="51">
        <v>0</v>
      </c>
      <c r="G40" s="241">
        <f t="shared" si="0"/>
        <v>0</v>
      </c>
      <c r="H40" s="242">
        <f>IF($A40&lt;=$N$4,H$15*'General Data'!$S32,"")</f>
        <v>641730</v>
      </c>
      <c r="I40" s="243">
        <f>IF(A40&lt;&gt;"",IF(I$15="",VLOOKUP(A40,'DOE Fuel Esc Rates'!$T$9:$W$38,3,TRUE),I$15),"")</f>
        <v>5.1624658366231646E-3</v>
      </c>
      <c r="J40" s="243">
        <f>((1+I40)*(1+'General Data'!$M$25))-1</f>
        <v>6.167628302459649E-3</v>
      </c>
      <c r="K40" s="253">
        <f t="shared" si="11"/>
        <v>670706.12567098229</v>
      </c>
      <c r="L40" s="253">
        <f t="shared" si="1"/>
        <v>306493.82196228486</v>
      </c>
      <c r="M40" s="241">
        <f t="shared" si="2"/>
        <v>320332.98095837177</v>
      </c>
      <c r="N40" s="242">
        <f>IF($A40&lt;=$N$4,N$15*'General Data'!$S32,"")</f>
        <v>20420</v>
      </c>
      <c r="O40" s="243">
        <f>IF(A40&lt;&gt;"",IF(O$15="",VLOOKUP(A40,'DOE Fuel Esc Rates'!$T$9:$W$38,4,TRUE),O$15),"")</f>
        <v>2.4603174603174738E-2</v>
      </c>
      <c r="P40" s="243">
        <f>((1+O40)*(1+'General Data'!$M$25))-1</f>
        <v>2.5627777777777805E-2</v>
      </c>
      <c r="Q40" s="253">
        <f t="shared" si="12"/>
        <v>29687.184684684678</v>
      </c>
      <c r="R40" s="253">
        <f t="shared" si="3"/>
        <v>9752.7057243230902</v>
      </c>
      <c r="S40" s="241">
        <f t="shared" si="4"/>
        <v>14178.764741104851</v>
      </c>
      <c r="T40" s="242">
        <f t="shared" si="5"/>
        <v>0</v>
      </c>
      <c r="U40" s="245">
        <f t="shared" si="6"/>
        <v>0</v>
      </c>
      <c r="V40" s="246">
        <f>IF($A40&lt;=$N$4,VLOOKUP(A40,'DOE Fuel Esc Rates'!$T$9:$W$38,2,TRUE),"")</f>
        <v>2039</v>
      </c>
      <c r="W40" s="247">
        <f t="shared" si="7"/>
        <v>700393.31035566702</v>
      </c>
      <c r="X40" s="241">
        <f t="shared" si="8"/>
        <v>334511.74569947663</v>
      </c>
      <c r="Y40" s="248">
        <f>IF(A40&lt;&gt;"",SUM(X$15:X40),"")</f>
        <v>12078900.236349106</v>
      </c>
      <c r="Z40" s="249">
        <f>IF(A40&lt;&gt;"",LCC0!Y40-Y40,"")</f>
        <v>243225.82709573582</v>
      </c>
      <c r="AA40" s="312" t="str">
        <f>IF(A40&lt;&gt;"",IF(Z40&gt;0,IF(SUM(AA$16:AA39)=0,A39+(-Z39)/(Z40-Z39),""),""),"")</f>
        <v/>
      </c>
      <c r="AB40" s="198"/>
      <c r="AC40" s="251">
        <f t="shared" si="9"/>
        <v>700393.31035566702</v>
      </c>
      <c r="AE40" s="198"/>
    </row>
    <row r="41" spans="1:31" s="124" customFormat="1" ht="11.25" customHeight="1" thickBot="1" x14ac:dyDescent="0.25">
      <c r="A41" s="254"/>
      <c r="B41" s="255"/>
      <c r="C41" s="256"/>
      <c r="D41" s="257"/>
      <c r="E41" s="256"/>
      <c r="F41" s="256"/>
      <c r="G41" s="258"/>
      <c r="H41" s="259"/>
      <c r="I41" s="260"/>
      <c r="J41" s="260"/>
      <c r="K41" s="253"/>
      <c r="L41" s="253"/>
      <c r="M41" s="241"/>
      <c r="N41" s="261"/>
      <c r="O41" s="260"/>
      <c r="P41" s="260"/>
      <c r="Q41" s="260"/>
      <c r="R41" s="253"/>
      <c r="S41" s="241"/>
      <c r="T41" s="251"/>
      <c r="U41" s="258"/>
      <c r="V41" s="129"/>
      <c r="W41" s="129"/>
      <c r="X41" s="262"/>
      <c r="Y41" s="263"/>
      <c r="Z41" s="264"/>
      <c r="AA41" s="265"/>
    </row>
    <row r="42" spans="1:31" s="124" customFormat="1" ht="2.25" customHeight="1" x14ac:dyDescent="0.2">
      <c r="A42" s="266"/>
      <c r="B42" s="267"/>
      <c r="C42" s="267"/>
      <c r="D42" s="268"/>
      <c r="E42" s="267"/>
      <c r="F42" s="267"/>
      <c r="G42" s="269"/>
      <c r="H42" s="270"/>
      <c r="I42" s="271"/>
      <c r="J42" s="271"/>
      <c r="K42" s="271"/>
      <c r="L42" s="271"/>
      <c r="M42" s="272"/>
      <c r="N42" s="271"/>
      <c r="O42" s="271"/>
      <c r="P42" s="271"/>
      <c r="Q42" s="271"/>
      <c r="R42" s="271"/>
      <c r="S42" s="272"/>
      <c r="T42" s="273"/>
      <c r="U42" s="269"/>
      <c r="V42" s="273"/>
      <c r="W42" s="273"/>
      <c r="X42" s="269"/>
      <c r="Y42" s="274"/>
      <c r="Z42" s="273"/>
      <c r="AA42" s="275"/>
    </row>
    <row r="43" spans="1:31" s="289" customFormat="1" x14ac:dyDescent="0.2">
      <c r="A43" s="276"/>
      <c r="B43" s="277"/>
      <c r="C43" s="278">
        <f>SUM(C15:C40)</f>
        <v>174330</v>
      </c>
      <c r="D43" s="279">
        <f>+SUM(D15:D40)</f>
        <v>174330</v>
      </c>
      <c r="E43" s="278"/>
      <c r="F43" s="278">
        <f>SUM(F15:F40)</f>
        <v>0</v>
      </c>
      <c r="G43" s="280">
        <f>+SUM(G15:G40)</f>
        <v>0</v>
      </c>
      <c r="H43" s="281">
        <f>SUM(H16:H40)</f>
        <v>16043250</v>
      </c>
      <c r="I43" s="129"/>
      <c r="J43" s="129"/>
      <c r="K43" s="282">
        <f>SUM(K16:K40)</f>
        <v>16477891.885064734</v>
      </c>
      <c r="L43" s="282">
        <f>SUM(L16:L40)</f>
        <v>11174539.267923843</v>
      </c>
      <c r="M43" s="280">
        <f>+SUM(M16:M40)</f>
        <v>11477459.535706243</v>
      </c>
      <c r="N43" s="281">
        <f>SUM(N16:N40)</f>
        <v>510500</v>
      </c>
      <c r="O43" s="283"/>
      <c r="P43" s="129"/>
      <c r="Q43" s="282">
        <f>SUM(Q16:Q40)</f>
        <v>625960.38288288284</v>
      </c>
      <c r="R43" s="282">
        <f>SUM(R16:R40)</f>
        <v>355576.47585589724</v>
      </c>
      <c r="S43" s="280">
        <f>+SUM(S16:S40)</f>
        <v>427110.70064286614</v>
      </c>
      <c r="T43" s="281">
        <f>SUM(T16:T40)</f>
        <v>0</v>
      </c>
      <c r="U43" s="284">
        <f>+SUM(U16:U40)</f>
        <v>0</v>
      </c>
      <c r="V43" s="283"/>
      <c r="W43" s="285">
        <f>SUM(W15:W40)</f>
        <v>17278182.267947614</v>
      </c>
      <c r="X43" s="284">
        <f>+SUM(X15:X40)</f>
        <v>12078900.236349106</v>
      </c>
      <c r="Y43" s="286">
        <f>X43</f>
        <v>12078900.236349106</v>
      </c>
      <c r="Z43" s="287" t="s">
        <v>49</v>
      </c>
      <c r="AA43" s="313">
        <f>IF(SUM(AA16:AA40)&gt;0,SUM(AA16:AA40),"&gt;"&amp;T4)</f>
        <v>6.642913954965735</v>
      </c>
      <c r="AC43" s="289">
        <f>+SUM(AC15:AC40)</f>
        <v>17103852.267947614</v>
      </c>
    </row>
    <row r="44" spans="1:31" s="124" customFormat="1" ht="5.25" customHeight="1" thickBot="1" x14ac:dyDescent="0.25">
      <c r="A44" s="290"/>
      <c r="B44" s="291"/>
      <c r="C44" s="291"/>
      <c r="D44" s="292"/>
      <c r="E44" s="291"/>
      <c r="F44" s="291"/>
      <c r="G44" s="293"/>
      <c r="H44" s="291"/>
      <c r="I44" s="294"/>
      <c r="J44" s="294"/>
      <c r="K44" s="294"/>
      <c r="L44" s="294"/>
      <c r="M44" s="293"/>
      <c r="N44" s="294"/>
      <c r="O44" s="294"/>
      <c r="P44" s="294"/>
      <c r="Q44" s="294"/>
      <c r="R44" s="294"/>
      <c r="S44" s="293"/>
      <c r="T44" s="294"/>
      <c r="U44" s="293"/>
      <c r="V44" s="294"/>
      <c r="W44" s="294"/>
      <c r="X44" s="293"/>
      <c r="Y44" s="295"/>
      <c r="Z44" s="294"/>
      <c r="AA44" s="293"/>
    </row>
    <row r="45" spans="1:31" s="124" customFormat="1" ht="6" customHeight="1" x14ac:dyDescent="0.2">
      <c r="A45" s="129"/>
      <c r="B45" s="296"/>
      <c r="C45" s="296"/>
      <c r="D45" s="296"/>
      <c r="E45" s="296"/>
      <c r="F45" s="74"/>
      <c r="G45" s="74"/>
      <c r="H45" s="296"/>
      <c r="I45" s="74"/>
      <c r="J45" s="74"/>
      <c r="K45" s="74"/>
      <c r="L45" s="74"/>
      <c r="M45" s="74"/>
      <c r="N45" s="74"/>
      <c r="O45" s="74"/>
      <c r="P45" s="74"/>
      <c r="Q45" s="74"/>
      <c r="R45" s="74"/>
      <c r="S45" s="74"/>
      <c r="T45" s="74"/>
      <c r="U45" s="74"/>
      <c r="V45" s="74"/>
      <c r="W45" s="74"/>
      <c r="X45" s="74"/>
      <c r="AA45" s="141"/>
    </row>
    <row r="46" spans="1:31" x14ac:dyDescent="0.2">
      <c r="B46" s="297" t="s">
        <v>53</v>
      </c>
      <c r="C46" s="298" t="s">
        <v>1</v>
      </c>
      <c r="I46" s="299"/>
      <c r="J46" s="299"/>
      <c r="M46" s="251"/>
      <c r="P46" s="299"/>
      <c r="S46" s="300"/>
      <c r="U46" s="301"/>
      <c r="X46" s="302"/>
    </row>
    <row r="47" spans="1:31" x14ac:dyDescent="0.2">
      <c r="C47" s="304" t="s">
        <v>201</v>
      </c>
      <c r="M47" s="251"/>
      <c r="X47" s="302"/>
    </row>
    <row r="48" spans="1:31" x14ac:dyDescent="0.2">
      <c r="L48" s="305"/>
      <c r="X48" s="302"/>
    </row>
    <row r="49" spans="8:24" x14ac:dyDescent="0.2">
      <c r="H49" s="306"/>
      <c r="L49" s="305"/>
      <c r="M49" s="251"/>
    </row>
    <row r="50" spans="8:24" x14ac:dyDescent="0.2">
      <c r="H50" s="255"/>
      <c r="M50" s="251"/>
      <c r="X50" s="307"/>
    </row>
    <row r="51" spans="8:24" x14ac:dyDescent="0.2">
      <c r="M51" s="308"/>
      <c r="X51" s="309"/>
    </row>
    <row r="52" spans="8:24" x14ac:dyDescent="0.2">
      <c r="H52" s="306"/>
      <c r="M52" s="308"/>
    </row>
    <row r="53" spans="8:24" x14ac:dyDescent="0.2">
      <c r="H53" s="306"/>
    </row>
    <row r="54" spans="8:24" x14ac:dyDescent="0.2">
      <c r="H54" s="310"/>
    </row>
    <row r="56" spans="8:24" x14ac:dyDescent="0.2">
      <c r="H56" s="311"/>
      <c r="M56" s="307"/>
    </row>
  </sheetData>
  <phoneticPr fontId="0" type="noConversion"/>
  <printOptions horizontalCentered="1"/>
  <pageMargins left="0.35" right="0.35" top="0.75" bottom="0.75" header="0.5" footer="0.5"/>
  <pageSetup paperSize="4" scale="70" orientation="landscape" horizontalDpi="4294967292"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AE56"/>
  <sheetViews>
    <sheetView zoomScale="80" workbookViewId="0">
      <pane xSplit="1" topLeftCell="B1" activePane="topRight" state="frozenSplit"/>
      <selection activeCell="B4" sqref="B4"/>
      <selection pane="topRight" activeCell="B4" sqref="B4"/>
    </sheetView>
  </sheetViews>
  <sheetFormatPr defaultRowHeight="12.75" x14ac:dyDescent="0.2"/>
  <cols>
    <col min="1" max="1" width="4.5703125" style="129" customWidth="1"/>
    <col min="2" max="3" width="12" style="296" customWidth="1"/>
    <col min="4" max="5" width="10.7109375" style="296" customWidth="1"/>
    <col min="6" max="7" width="11.140625" style="74" customWidth="1"/>
    <col min="8" max="8" width="12.5703125" style="296" customWidth="1"/>
    <col min="9" max="9" width="10.28515625" style="74" customWidth="1"/>
    <col min="10" max="10" width="10.28515625" style="74" hidden="1" customWidth="1"/>
    <col min="11" max="12" width="13.42578125" style="74" hidden="1" customWidth="1"/>
    <col min="13" max="13" width="14.7109375" style="74" customWidth="1"/>
    <col min="14" max="14" width="10.5703125" style="74" customWidth="1"/>
    <col min="15" max="15" width="11" style="74" customWidth="1"/>
    <col min="16" max="16" width="10.28515625" style="74" hidden="1" customWidth="1"/>
    <col min="17" max="17" width="11" style="74" hidden="1" customWidth="1"/>
    <col min="18" max="18" width="12.140625" style="74" hidden="1" customWidth="1"/>
    <col min="19" max="19" width="12" style="74" customWidth="1"/>
    <col min="20" max="20" width="11.28515625" style="74" customWidth="1"/>
    <col min="21" max="21" width="12.7109375" style="74" customWidth="1"/>
    <col min="22" max="22" width="6" style="74" customWidth="1"/>
    <col min="23" max="23" width="15.28515625" style="74" hidden="1" customWidth="1"/>
    <col min="24" max="24" width="16" style="74" customWidth="1"/>
    <col min="25" max="25" width="14.5703125" style="74" customWidth="1"/>
    <col min="26" max="26" width="14.42578125" style="74" customWidth="1"/>
    <col min="27" max="27" width="11.85546875" style="303" customWidth="1"/>
    <col min="28" max="28" width="9.140625" style="74"/>
    <col min="29" max="29" width="10" style="74" hidden="1" customWidth="1"/>
    <col min="30" max="16384" width="9.140625" style="74"/>
  </cols>
  <sheetData>
    <row r="1" spans="1:31" s="124" customFormat="1" ht="13.5" thickBot="1" x14ac:dyDescent="0.25">
      <c r="A1" s="139"/>
      <c r="B1" s="140"/>
      <c r="C1" s="140"/>
      <c r="D1" s="140"/>
      <c r="E1" s="140"/>
      <c r="H1" s="140"/>
      <c r="AA1" s="141"/>
    </row>
    <row r="2" spans="1:31" ht="5.25" customHeight="1" thickTop="1" x14ac:dyDescent="0.2">
      <c r="A2" s="142"/>
      <c r="B2" s="143"/>
      <c r="C2" s="143"/>
      <c r="D2" s="143"/>
      <c r="E2" s="143"/>
      <c r="F2" s="143"/>
      <c r="G2" s="143"/>
      <c r="H2" s="144"/>
      <c r="I2" s="144"/>
      <c r="J2" s="144"/>
      <c r="K2" s="144"/>
      <c r="L2" s="144"/>
      <c r="M2" s="144"/>
      <c r="N2" s="144"/>
      <c r="O2" s="144"/>
      <c r="P2" s="144"/>
      <c r="Q2" s="144"/>
      <c r="R2" s="144"/>
      <c r="S2" s="144"/>
      <c r="T2" s="144"/>
      <c r="U2" s="144"/>
      <c r="V2" s="144"/>
      <c r="W2" s="144"/>
      <c r="X2" s="145"/>
      <c r="Y2" s="146"/>
      <c r="Z2" s="144"/>
      <c r="AA2" s="145"/>
    </row>
    <row r="3" spans="1:31" ht="15.75" x14ac:dyDescent="0.25">
      <c r="A3" s="147"/>
      <c r="B3" s="69" t="s">
        <v>242</v>
      </c>
      <c r="C3" s="69"/>
      <c r="D3" s="148"/>
      <c r="E3" s="148"/>
      <c r="G3" s="149" t="s">
        <v>190</v>
      </c>
      <c r="H3" s="150" t="str">
        <f>'General Data'!A12&amp;"/"&amp;'General Data'!H12</f>
        <v>4/2015</v>
      </c>
      <c r="M3" s="151" t="s">
        <v>193</v>
      </c>
      <c r="N3" s="152">
        <f>N4-H4</f>
        <v>25</v>
      </c>
      <c r="R3" s="153"/>
      <c r="S3" s="149" t="s">
        <v>11</v>
      </c>
      <c r="T3" s="154">
        <f>'General Data'!H10</f>
        <v>2015</v>
      </c>
      <c r="V3" s="149" t="s">
        <v>12</v>
      </c>
      <c r="W3" s="149"/>
      <c r="X3" s="155" t="str">
        <f>IF('General Data'!$H$21=1,"Northeast",IF('General Data'!$H$21=2,"Midwest",IF('General Data'!$H$21=3,"South",IF('General Data'!$H$21=4,"West",IF('General Data'!$H$21=5,"United States Average","error")))))</f>
        <v>West</v>
      </c>
      <c r="Y3" s="156"/>
      <c r="Z3" s="157"/>
      <c r="AA3" s="155"/>
    </row>
    <row r="4" spans="1:31" ht="15.75" x14ac:dyDescent="0.25">
      <c r="A4" s="147"/>
      <c r="B4" s="69" t="s">
        <v>243</v>
      </c>
      <c r="C4" s="69"/>
      <c r="D4" s="148"/>
      <c r="E4" s="148"/>
      <c r="G4" s="158" t="s">
        <v>195</v>
      </c>
      <c r="H4" s="159">
        <f>'General Data'!H13-'General Data'!H12</f>
        <v>0</v>
      </c>
      <c r="M4" s="151" t="s">
        <v>194</v>
      </c>
      <c r="N4" s="160">
        <f>'General Data'!$H$18</f>
        <v>25</v>
      </c>
      <c r="R4" s="153"/>
      <c r="S4" s="151" t="s">
        <v>255</v>
      </c>
      <c r="T4" s="161">
        <f>'General Data'!H15</f>
        <v>0.03</v>
      </c>
      <c r="V4" s="149" t="s">
        <v>13</v>
      </c>
      <c r="W4" s="149"/>
      <c r="X4" s="155" t="str">
        <f>IF('General Data'!$H$24=1,"Residential",IF('General Data'!$H$24=2,"Commercial",IF('General Data'!$H$24=3,"Industrial","error")))</f>
        <v>Commercial</v>
      </c>
      <c r="Y4" s="156"/>
      <c r="Z4" s="157"/>
      <c r="AA4" s="155"/>
    </row>
    <row r="5" spans="1:31" ht="17.25" customHeight="1" thickBot="1" x14ac:dyDescent="0.25">
      <c r="A5" s="162"/>
      <c r="B5" s="163"/>
      <c r="C5" s="163"/>
      <c r="D5" s="163"/>
      <c r="E5" s="163"/>
      <c r="F5" s="163"/>
      <c r="G5" s="163"/>
      <c r="H5" s="163"/>
      <c r="I5" s="164"/>
      <c r="J5" s="164"/>
      <c r="K5" s="164"/>
      <c r="L5" s="164"/>
      <c r="M5" s="164"/>
      <c r="N5" s="164"/>
      <c r="O5" s="164"/>
      <c r="P5" s="164"/>
      <c r="Q5" s="164"/>
      <c r="R5" s="164"/>
      <c r="S5" s="350" t="s">
        <v>254</v>
      </c>
      <c r="T5" s="351">
        <f>'General Data'!H16</f>
        <v>0.03</v>
      </c>
      <c r="U5" s="164"/>
      <c r="V5" s="164"/>
      <c r="W5" s="164"/>
      <c r="X5" s="165"/>
      <c r="Y5" s="166"/>
      <c r="Z5" s="164"/>
      <c r="AA5" s="165"/>
    </row>
    <row r="6" spans="1:31" ht="5.25" customHeight="1" thickTop="1" x14ac:dyDescent="0.2">
      <c r="A6" s="167"/>
      <c r="B6" s="168"/>
      <c r="C6" s="168"/>
      <c r="D6" s="168"/>
      <c r="E6" s="168"/>
      <c r="F6" s="169"/>
      <c r="G6" s="170"/>
      <c r="H6" s="171"/>
      <c r="I6" s="172"/>
      <c r="J6" s="172"/>
      <c r="K6" s="172"/>
      <c r="L6" s="173"/>
      <c r="M6" s="174"/>
      <c r="N6" s="172"/>
      <c r="O6" s="172"/>
      <c r="P6" s="172"/>
      <c r="Q6" s="172"/>
      <c r="R6" s="173"/>
      <c r="S6" s="174"/>
      <c r="T6" s="172"/>
      <c r="U6" s="170"/>
      <c r="X6" s="174"/>
      <c r="Y6" s="175"/>
      <c r="Z6" s="124"/>
      <c r="AA6" s="174"/>
    </row>
    <row r="7" spans="1:31" x14ac:dyDescent="0.2">
      <c r="A7" s="176"/>
      <c r="B7" s="177" t="s">
        <v>14</v>
      </c>
      <c r="C7" s="177"/>
      <c r="D7" s="177"/>
      <c r="E7" s="177"/>
      <c r="F7" s="178"/>
      <c r="G7" s="179"/>
      <c r="H7" s="180" t="s">
        <v>15</v>
      </c>
      <c r="I7" s="181"/>
      <c r="J7" s="181"/>
      <c r="K7" s="181"/>
      <c r="L7" s="182"/>
      <c r="M7" s="183"/>
      <c r="N7" s="180" t="str">
        <f>IF('General Data'!$H$27=1,"NATURAL GAS COSTS",IF('General Data'!$H$27=2,"LPG FUEL COSTS",IF('General Data'!$H$27=3,"DISTILATE FUEL OIL COSTS",IF('General Data'!$H$27=4,"RESIDUAL FUEL OIL COSTS",IF('General Data'!$H$27=5,"COAL COSTS",IF('General Data'!$H$27=0,"NO 2ND FUEL USED","error?"))))))</f>
        <v>NATURAL GAS COSTS</v>
      </c>
      <c r="O7" s="181"/>
      <c r="P7" s="181"/>
      <c r="Q7" s="181"/>
      <c r="R7" s="182"/>
      <c r="S7" s="183"/>
      <c r="T7" s="180" t="s">
        <v>16</v>
      </c>
      <c r="U7" s="179"/>
      <c r="V7" s="180" t="s">
        <v>17</v>
      </c>
      <c r="W7" s="180"/>
      <c r="X7" s="183"/>
      <c r="Y7" s="184" t="s">
        <v>151</v>
      </c>
      <c r="Z7" s="177"/>
      <c r="AA7" s="185"/>
    </row>
    <row r="8" spans="1:31" x14ac:dyDescent="0.2">
      <c r="A8" s="176"/>
      <c r="B8" s="177"/>
      <c r="C8" s="177"/>
      <c r="D8" s="177"/>
      <c r="E8" s="177"/>
      <c r="F8" s="178"/>
      <c r="G8" s="179"/>
      <c r="H8" s="180" t="s">
        <v>18</v>
      </c>
      <c r="I8" s="181"/>
      <c r="J8" s="181"/>
      <c r="K8" s="181"/>
      <c r="L8" s="182"/>
      <c r="M8" s="183"/>
      <c r="N8" s="180" t="s">
        <v>18</v>
      </c>
      <c r="O8" s="181"/>
      <c r="P8" s="181"/>
      <c r="Q8" s="181"/>
      <c r="R8" s="182"/>
      <c r="S8" s="183"/>
      <c r="T8" s="180" t="s">
        <v>19</v>
      </c>
      <c r="U8" s="179"/>
      <c r="V8" s="180" t="s">
        <v>18</v>
      </c>
      <c r="W8" s="180"/>
      <c r="X8" s="186"/>
      <c r="Y8" s="187" t="s">
        <v>20</v>
      </c>
      <c r="Z8" s="188" t="s">
        <v>21</v>
      </c>
      <c r="AA8" s="189" t="s">
        <v>54</v>
      </c>
      <c r="AC8" s="190" t="s">
        <v>61</v>
      </c>
    </row>
    <row r="9" spans="1:31" ht="6" customHeight="1" x14ac:dyDescent="0.2">
      <c r="A9" s="176"/>
      <c r="B9" s="177"/>
      <c r="C9" s="177"/>
      <c r="D9" s="177"/>
      <c r="E9" s="177"/>
      <c r="F9" s="178"/>
      <c r="G9" s="179"/>
      <c r="H9" s="180"/>
      <c r="I9" s="181"/>
      <c r="J9" s="181"/>
      <c r="K9" s="181"/>
      <c r="L9" s="182"/>
      <c r="M9" s="183"/>
      <c r="N9" s="180"/>
      <c r="O9" s="181"/>
      <c r="P9" s="181"/>
      <c r="Q9" s="181"/>
      <c r="R9" s="182"/>
      <c r="S9" s="183"/>
      <c r="T9" s="180"/>
      <c r="U9" s="179"/>
      <c r="V9" s="180"/>
      <c r="W9" s="180"/>
      <c r="X9" s="183"/>
      <c r="Y9" s="191"/>
      <c r="Z9" s="192"/>
      <c r="AA9" s="183"/>
      <c r="AC9" s="190"/>
    </row>
    <row r="10" spans="1:31" s="198" customFormat="1" x14ac:dyDescent="0.2">
      <c r="A10" s="176"/>
      <c r="B10" s="153"/>
      <c r="C10" s="193" t="s">
        <v>22</v>
      </c>
      <c r="D10" s="193"/>
      <c r="E10" s="193"/>
      <c r="F10" s="188" t="s">
        <v>23</v>
      </c>
      <c r="G10" s="170"/>
      <c r="H10" s="194" t="s">
        <v>24</v>
      </c>
      <c r="I10" s="194" t="str">
        <f>'DOE Fuel Esc Rates'!H8</f>
        <v>Electric</v>
      </c>
      <c r="J10" s="194" t="str">
        <f>I10</f>
        <v>Electric</v>
      </c>
      <c r="K10" s="194" t="s">
        <v>25</v>
      </c>
      <c r="L10" s="173" t="s">
        <v>26</v>
      </c>
      <c r="M10" s="195" t="s">
        <v>26</v>
      </c>
      <c r="N10" s="194" t="s">
        <v>24</v>
      </c>
      <c r="O10" s="194" t="str">
        <f>'DOE Fuel Esc Rates'!$W$5</f>
        <v>Nat Gas</v>
      </c>
      <c r="P10" s="194" t="str">
        <f>O10</f>
        <v>Nat Gas</v>
      </c>
      <c r="Q10" s="194" t="s">
        <v>25</v>
      </c>
      <c r="R10" s="173" t="s">
        <v>26</v>
      </c>
      <c r="S10" s="195" t="s">
        <v>26</v>
      </c>
      <c r="T10" s="194" t="s">
        <v>24</v>
      </c>
      <c r="U10" s="195" t="s">
        <v>26</v>
      </c>
      <c r="V10" s="172"/>
      <c r="W10" s="194" t="s">
        <v>173</v>
      </c>
      <c r="X10" s="195" t="s">
        <v>26</v>
      </c>
      <c r="Y10" s="196" t="s">
        <v>26</v>
      </c>
      <c r="Z10" s="197" t="s">
        <v>26</v>
      </c>
      <c r="AA10" s="195"/>
      <c r="AB10" s="74"/>
      <c r="AC10" s="190" t="s">
        <v>173</v>
      </c>
    </row>
    <row r="11" spans="1:31" s="198" customFormat="1" x14ac:dyDescent="0.2">
      <c r="A11" s="176"/>
      <c r="B11" s="199"/>
      <c r="C11" s="200" t="s">
        <v>27</v>
      </c>
      <c r="D11" s="201"/>
      <c r="E11" s="201"/>
      <c r="F11" s="200" t="s">
        <v>28</v>
      </c>
      <c r="G11" s="179"/>
      <c r="H11" s="194" t="s">
        <v>29</v>
      </c>
      <c r="I11" s="194" t="s">
        <v>30</v>
      </c>
      <c r="J11" s="194" t="s">
        <v>200</v>
      </c>
      <c r="K11" s="173" t="s">
        <v>31</v>
      </c>
      <c r="L11" s="173" t="s">
        <v>31</v>
      </c>
      <c r="M11" s="195" t="s">
        <v>32</v>
      </c>
      <c r="N11" s="194" t="s">
        <v>29</v>
      </c>
      <c r="O11" s="194" t="s">
        <v>30</v>
      </c>
      <c r="P11" s="194" t="s">
        <v>200</v>
      </c>
      <c r="Q11" s="173" t="s">
        <v>31</v>
      </c>
      <c r="R11" s="173" t="s">
        <v>31</v>
      </c>
      <c r="S11" s="195" t="str">
        <f>O10</f>
        <v>Nat Gas</v>
      </c>
      <c r="T11" s="194" t="s">
        <v>29</v>
      </c>
      <c r="U11" s="202" t="s">
        <v>29</v>
      </c>
      <c r="V11" s="172"/>
      <c r="W11" s="203" t="s">
        <v>34</v>
      </c>
      <c r="X11" s="202" t="s">
        <v>34</v>
      </c>
      <c r="Y11" s="204" t="s">
        <v>152</v>
      </c>
      <c r="Z11" s="203" t="s">
        <v>152</v>
      </c>
      <c r="AA11" s="202" t="s">
        <v>26</v>
      </c>
      <c r="AC11" s="190" t="s">
        <v>182</v>
      </c>
    </row>
    <row r="12" spans="1:31" s="198" customFormat="1" x14ac:dyDescent="0.2">
      <c r="A12" s="176" t="s">
        <v>41</v>
      </c>
      <c r="B12" s="205" t="s">
        <v>35</v>
      </c>
      <c r="C12" s="206"/>
      <c r="D12" s="207" t="s">
        <v>26</v>
      </c>
      <c r="E12" s="205" t="s">
        <v>35</v>
      </c>
      <c r="F12" s="206"/>
      <c r="G12" s="208" t="s">
        <v>26</v>
      </c>
      <c r="H12" s="173" t="s">
        <v>32</v>
      </c>
      <c r="I12" s="194" t="s">
        <v>36</v>
      </c>
      <c r="J12" s="194" t="s">
        <v>36</v>
      </c>
      <c r="K12" s="173" t="s">
        <v>37</v>
      </c>
      <c r="L12" s="173" t="s">
        <v>38</v>
      </c>
      <c r="M12" s="209" t="s">
        <v>39</v>
      </c>
      <c r="N12" s="194" t="str">
        <f>O10</f>
        <v>Nat Gas</v>
      </c>
      <c r="O12" s="194" t="s">
        <v>36</v>
      </c>
      <c r="P12" s="194" t="s">
        <v>36</v>
      </c>
      <c r="Q12" s="173" t="s">
        <v>37</v>
      </c>
      <c r="R12" s="173" t="s">
        <v>38</v>
      </c>
      <c r="S12" s="209" t="s">
        <v>39</v>
      </c>
      <c r="T12" s="210" t="s">
        <v>40</v>
      </c>
      <c r="U12" s="179"/>
      <c r="V12" s="194" t="s">
        <v>41</v>
      </c>
      <c r="W12" s="203" t="s">
        <v>42</v>
      </c>
      <c r="X12" s="202" t="s">
        <v>42</v>
      </c>
      <c r="Y12" s="204" t="s">
        <v>42</v>
      </c>
      <c r="Z12" s="203" t="s">
        <v>43</v>
      </c>
      <c r="AA12" s="211" t="s">
        <v>54</v>
      </c>
      <c r="AC12" s="190" t="s">
        <v>42</v>
      </c>
    </row>
    <row r="13" spans="1:31" s="198" customFormat="1" x14ac:dyDescent="0.2">
      <c r="A13" s="176" t="s">
        <v>188</v>
      </c>
      <c r="B13" s="212" t="s">
        <v>44</v>
      </c>
      <c r="C13" s="213" t="s">
        <v>45</v>
      </c>
      <c r="D13" s="214" t="s">
        <v>46</v>
      </c>
      <c r="E13" s="212" t="s">
        <v>44</v>
      </c>
      <c r="F13" s="213" t="s">
        <v>45</v>
      </c>
      <c r="G13" s="211" t="s">
        <v>46</v>
      </c>
      <c r="H13" s="212" t="s">
        <v>45</v>
      </c>
      <c r="I13" s="215" t="s">
        <v>47</v>
      </c>
      <c r="J13" s="215" t="s">
        <v>47</v>
      </c>
      <c r="K13" s="216" t="s">
        <v>46</v>
      </c>
      <c r="L13" s="216" t="s">
        <v>46</v>
      </c>
      <c r="M13" s="211" t="s">
        <v>46</v>
      </c>
      <c r="N13" s="215" t="s">
        <v>45</v>
      </c>
      <c r="O13" s="215" t="s">
        <v>47</v>
      </c>
      <c r="P13" s="215" t="s">
        <v>47</v>
      </c>
      <c r="Q13" s="216" t="s">
        <v>46</v>
      </c>
      <c r="R13" s="216" t="s">
        <v>46</v>
      </c>
      <c r="S13" s="211" t="s">
        <v>46</v>
      </c>
      <c r="T13" s="215" t="s">
        <v>45</v>
      </c>
      <c r="U13" s="211" t="s">
        <v>46</v>
      </c>
      <c r="V13" s="194" t="s">
        <v>186</v>
      </c>
      <c r="W13" s="213" t="s">
        <v>174</v>
      </c>
      <c r="X13" s="211" t="s">
        <v>46</v>
      </c>
      <c r="Y13" s="217" t="s">
        <v>46</v>
      </c>
      <c r="Z13" s="218" t="s">
        <v>46</v>
      </c>
      <c r="AA13" s="219" t="s">
        <v>55</v>
      </c>
    </row>
    <row r="14" spans="1:31" ht="3.75" customHeight="1" x14ac:dyDescent="0.2">
      <c r="A14" s="220"/>
      <c r="B14" s="221"/>
      <c r="C14" s="222"/>
      <c r="D14" s="223"/>
      <c r="E14" s="221"/>
      <c r="F14" s="222"/>
      <c r="G14" s="224"/>
      <c r="H14" s="221"/>
      <c r="I14" s="129"/>
      <c r="J14" s="129"/>
      <c r="K14" s="129"/>
      <c r="L14" s="225"/>
      <c r="M14" s="174"/>
      <c r="N14" s="129"/>
      <c r="O14" s="129"/>
      <c r="P14" s="129"/>
      <c r="Q14" s="129"/>
      <c r="S14" s="174"/>
      <c r="U14" s="174"/>
      <c r="V14" s="129"/>
      <c r="W14" s="129"/>
      <c r="X14" s="174"/>
      <c r="Y14" s="175"/>
      <c r="Z14" s="124"/>
      <c r="AA14" s="174"/>
      <c r="AB14" s="198"/>
      <c r="AC14" s="198"/>
      <c r="AE14" s="198"/>
    </row>
    <row r="15" spans="1:31" x14ac:dyDescent="0.2">
      <c r="A15" s="226">
        <v>0</v>
      </c>
      <c r="B15" s="50" t="s">
        <v>48</v>
      </c>
      <c r="C15" s="50">
        <v>256470</v>
      </c>
      <c r="D15" s="227">
        <f>$C15/(1+disc)^$A15</f>
        <v>256470</v>
      </c>
      <c r="E15" s="228" t="s">
        <v>49</v>
      </c>
      <c r="F15" s="229" t="s">
        <v>49</v>
      </c>
      <c r="G15" s="230" t="s">
        <v>49</v>
      </c>
      <c r="H15" s="52">
        <v>606010</v>
      </c>
      <c r="I15" s="78" t="str">
        <f>IF('General Data'!$H$30="","",'General Data'!$H$30)</f>
        <v/>
      </c>
      <c r="J15" s="78"/>
      <c r="K15" s="231">
        <f>IF(A16=1,1,VLOOKUP(A16-1,'DOE Fuel Esc Rates'!T9:AB13,8,TRUE))</f>
        <v>1</v>
      </c>
      <c r="L15" s="232"/>
      <c r="M15" s="233"/>
      <c r="N15" s="53">
        <v>20920</v>
      </c>
      <c r="O15" s="78" t="str">
        <f>IF('General Data'!$H$31="","",'General Data'!$H$31)</f>
        <v/>
      </c>
      <c r="P15" s="78"/>
      <c r="Q15" s="234">
        <f>IF(A16=1,1,VLOOKUP(A16-1,'DOE Fuel Esc Rates'!T9:AB13,9,TRUE))</f>
        <v>1</v>
      </c>
      <c r="R15" s="232"/>
      <c r="S15" s="233"/>
      <c r="T15" s="53">
        <v>0</v>
      </c>
      <c r="U15" s="233"/>
      <c r="V15" s="235"/>
      <c r="W15" s="236">
        <f>+D15+M15+S15+U15</f>
        <v>256470</v>
      </c>
      <c r="X15" s="237">
        <f>+D15+M15+S15+U15</f>
        <v>256470</v>
      </c>
      <c r="Y15" s="238">
        <f>SUM(X$15:X15)</f>
        <v>256470</v>
      </c>
      <c r="Z15" s="236">
        <f>LCC0!Y15-Y15</f>
        <v>-202170</v>
      </c>
      <c r="AA15" s="237"/>
      <c r="AB15" s="198"/>
      <c r="AC15" s="198"/>
      <c r="AE15" s="198"/>
    </row>
    <row r="16" spans="1:31" x14ac:dyDescent="0.2">
      <c r="A16" s="239">
        <f>IF(ROW(A16)-ROW($A$15)+$H$4&lt;=$N$4,A15+1+$H$4,"")</f>
        <v>1</v>
      </c>
      <c r="B16" s="51"/>
      <c r="C16" s="51">
        <v>0</v>
      </c>
      <c r="D16" s="240">
        <f>IF($A16&lt;&gt;"",$C16/((1+$T$5)^$A16),"")</f>
        <v>0</v>
      </c>
      <c r="E16" s="51"/>
      <c r="F16" s="51">
        <v>0</v>
      </c>
      <c r="G16" s="241">
        <f t="shared" ref="G16:G40" si="0">IF($A16&lt;&gt;"",$F16/((1+disc)^$A16),"")</f>
        <v>0</v>
      </c>
      <c r="H16" s="242">
        <f>IF($A16&lt;=$N$4,H$15*'General Data'!$S8,"")</f>
        <v>606010</v>
      </c>
      <c r="I16" s="243">
        <f>IF(A16&lt;&gt;"",IF(I$15="",VLOOKUP(A16,'DOE Fuel Esc Rates'!$T$9:$W$38,3,TRUE),I$15),"")</f>
        <v>2.7786548784338283E-2</v>
      </c>
      <c r="J16" s="243">
        <f>((1+I16)*(1+'General Data'!$M$25))-1</f>
        <v>2.8814335333122498E-2</v>
      </c>
      <c r="K16" s="244">
        <f>IF(H16&lt;&gt;"",H16*(1+I16)*K15,"")</f>
        <v>622848.92642879684</v>
      </c>
      <c r="L16" s="244">
        <f t="shared" ref="L16:L40" si="1">IF(H16&lt;&gt;"",H16/(1+disc)^$A16,"")</f>
        <v>588359.22330097086</v>
      </c>
      <c r="M16" s="241">
        <f t="shared" ref="M16:M40" si="2">IF(H16&lt;&gt;"",K16/(1+disc)^$A16,"")</f>
        <v>604707.69556193869</v>
      </c>
      <c r="N16" s="242">
        <f>IF($A16&lt;=$N$4,N$15*'General Data'!$S8,"")</f>
        <v>20920</v>
      </c>
      <c r="O16" s="243">
        <f>IF(A16&lt;&gt;"",IF(O$15="",VLOOKUP(A16,'DOE Fuel Esc Rates'!$T$9:$W$38,4,TRUE),O$15),"")</f>
        <v>1.2387387387387427E-2</v>
      </c>
      <c r="P16" s="243">
        <f>((1+O16)*(1+'General Data'!$M$25))-1</f>
        <v>1.339977477477472E-2</v>
      </c>
      <c r="Q16" s="244">
        <f>IF(N16&lt;&gt;"",N16*(1+O16)*Q15,"")</f>
        <v>21179.144144144146</v>
      </c>
      <c r="R16" s="244">
        <f t="shared" ref="R16:R40" si="3">IF(N16&lt;&gt;"",N16/(1+disc)^$A16,"")</f>
        <v>20310.679611650485</v>
      </c>
      <c r="S16" s="241">
        <f t="shared" ref="S16:S40" si="4">IF(N16&lt;&gt;"",Q16/((1+disc)^$A16),"")</f>
        <v>20562.275868101111</v>
      </c>
      <c r="T16" s="242">
        <f t="shared" ref="T16:T40" si="5">IF($A16&lt;=$N$4,T$15,"")</f>
        <v>0</v>
      </c>
      <c r="U16" s="245">
        <f t="shared" ref="U16:U40" si="6">IF(T16&lt;&gt;"",T16/(1+disc)^A16,"")</f>
        <v>0</v>
      </c>
      <c r="V16" s="246">
        <f>IF($A16&lt;=$N$4,VLOOKUP(A16,'DOE Fuel Esc Rates'!$T$9:$W$38,2,TRUE),"")</f>
        <v>2015</v>
      </c>
      <c r="W16" s="247">
        <f t="shared" ref="W16:W40" si="7">IF(A16&lt;&gt;"",SUM(C16,F16,K16,Q16,T16),"")</f>
        <v>644028.07057294098</v>
      </c>
      <c r="X16" s="241">
        <f t="shared" ref="X16:X40" si="8">IF(A16&lt;&gt;"",SUM(D16,G16,M16,S16,U16),"")</f>
        <v>625269.97143003985</v>
      </c>
      <c r="Y16" s="248">
        <f>IF(A16&lt;&gt;"",SUM(X$15:X16),"")</f>
        <v>881739.97143003985</v>
      </c>
      <c r="Z16" s="249">
        <f>IF(A16&lt;&gt;"",LCC0!Y16-Y16,"")</f>
        <v>-147653.33212780906</v>
      </c>
      <c r="AA16" s="312" t="str">
        <f>IF(A16&lt;&gt;"",IF(Z16&gt;0,A15+(-Z15)/(Z16-Z15),""),"")</f>
        <v/>
      </c>
      <c r="AB16" s="198"/>
      <c r="AC16" s="251">
        <f t="shared" ref="AC16:AC40" si="9">SUM(K16,Q16)</f>
        <v>644028.07057294098</v>
      </c>
      <c r="AE16" s="198"/>
    </row>
    <row r="17" spans="1:31" x14ac:dyDescent="0.2">
      <c r="A17" s="176">
        <f>IF(ROW(A17)-ROW($A$15)+$H$4&lt;=$N$4,A16+1,"")</f>
        <v>2</v>
      </c>
      <c r="B17" s="56"/>
      <c r="C17" s="51">
        <v>0</v>
      </c>
      <c r="D17" s="252">
        <f t="shared" ref="D17:D40" si="10">IF($A17&lt;&gt;"",$C17/((1+$T$5)^$A17),"")</f>
        <v>0</v>
      </c>
      <c r="E17" s="56"/>
      <c r="F17" s="51">
        <v>0</v>
      </c>
      <c r="G17" s="241">
        <f t="shared" si="0"/>
        <v>0</v>
      </c>
      <c r="H17" s="242">
        <f>IF($A17&lt;=$N$4,H$15*'General Data'!$S9,"")</f>
        <v>606010</v>
      </c>
      <c r="I17" s="243">
        <f>IF(A17&lt;&gt;"",IF(I$15="",VLOOKUP(A17,'DOE Fuel Esc Rates'!$T$9:$W$38,3,TRUE),I$15),"")</f>
        <v>1.3824884792626779E-2</v>
      </c>
      <c r="J17" s="243">
        <f>((1+I17)*(1+'General Data'!$M$25))-1</f>
        <v>1.4838709677419404E-2</v>
      </c>
      <c r="K17" s="253">
        <f t="shared" ref="K17:K40" si="11">IF(H17&lt;&gt;"",K16*(1+I17),"")</f>
        <v>631459.74107988621</v>
      </c>
      <c r="L17" s="253">
        <f t="shared" si="1"/>
        <v>571222.54689414648</v>
      </c>
      <c r="M17" s="241">
        <f t="shared" si="2"/>
        <v>595211.36872456048</v>
      </c>
      <c r="N17" s="242">
        <f>IF($A17&lt;=$N$4,N$15*'General Data'!$S9,"")</f>
        <v>20920</v>
      </c>
      <c r="O17" s="243">
        <f>IF(A17&lt;&gt;"",IF(O$15="",VLOOKUP(A17,'DOE Fuel Esc Rates'!$T$9:$W$38,4,TRUE),O$15),"")</f>
        <v>1.1123470522802492E-3</v>
      </c>
      <c r="P17" s="243">
        <f>((1+O17)*(1+'General Data'!$M$25))-1</f>
        <v>2.1134593993323847E-3</v>
      </c>
      <c r="Q17" s="253">
        <f t="shared" ref="Q17:Q40" si="12">IF(N17&lt;&gt;"",Q16*(1+O17),"")</f>
        <v>21202.702702702703</v>
      </c>
      <c r="R17" s="253">
        <f t="shared" si="3"/>
        <v>19719.106419078144</v>
      </c>
      <c r="S17" s="241">
        <f t="shared" si="4"/>
        <v>19985.580830146766</v>
      </c>
      <c r="T17" s="242">
        <f t="shared" si="5"/>
        <v>0</v>
      </c>
      <c r="U17" s="245">
        <f t="shared" si="6"/>
        <v>0</v>
      </c>
      <c r="V17" s="246">
        <f>IF($A17&lt;=$N$4,VLOOKUP(A17,'DOE Fuel Esc Rates'!$T$9:$W$38,2,TRUE),"")</f>
        <v>2016</v>
      </c>
      <c r="W17" s="247">
        <f t="shared" si="7"/>
        <v>652662.44378258893</v>
      </c>
      <c r="X17" s="241">
        <f t="shared" si="8"/>
        <v>615196.94955470727</v>
      </c>
      <c r="Y17" s="248">
        <f>IF(A17&lt;&gt;"",SUM(X$15:X17),"")</f>
        <v>1496936.9209847471</v>
      </c>
      <c r="Z17" s="249">
        <f>IF(A17&lt;&gt;"",LCC0!Y17-Y17,"")</f>
        <v>-94046.171128734713</v>
      </c>
      <c r="AA17" s="312" t="str">
        <f>IF(A17&lt;&gt;"",IF(Z17&gt;0,IF(SUM(AA$16:AA16)=0,A16+(-Z16)/(Z17-Z16),""),""),"")</f>
        <v/>
      </c>
      <c r="AB17" s="198"/>
      <c r="AC17" s="251">
        <f t="shared" si="9"/>
        <v>652662.44378258893</v>
      </c>
      <c r="AE17" s="198"/>
    </row>
    <row r="18" spans="1:31" x14ac:dyDescent="0.2">
      <c r="A18" s="176">
        <f t="shared" ref="A18:A40" si="13">IF(ROW(A18)-ROW($A$15)+$H$4&lt;=$N$4,A17+1,"")</f>
        <v>3</v>
      </c>
      <c r="B18" s="56"/>
      <c r="C18" s="51">
        <v>0</v>
      </c>
      <c r="D18" s="252">
        <f t="shared" si="10"/>
        <v>0</v>
      </c>
      <c r="E18" s="56"/>
      <c r="F18" s="51">
        <v>0</v>
      </c>
      <c r="G18" s="241">
        <f t="shared" si="0"/>
        <v>0</v>
      </c>
      <c r="H18" s="242">
        <f>IF($A18&lt;=$N$4,H$15*'General Data'!$S10,"")</f>
        <v>606010</v>
      </c>
      <c r="I18" s="243">
        <f>IF(A18&lt;&gt;"",IF(I$15="",VLOOKUP(A18,'DOE Fuel Esc Rates'!$T$9:$W$38,3,TRUE),I$15),"")</f>
        <v>-1.0606060606060619E-2</v>
      </c>
      <c r="J18" s="243">
        <f>((1+I18)*(1+'General Data'!$M$25))-1</f>
        <v>-9.6166666666668288E-3</v>
      </c>
      <c r="K18" s="253">
        <f t="shared" si="11"/>
        <v>624762.44079570554</v>
      </c>
      <c r="L18" s="253">
        <f t="shared" si="1"/>
        <v>554584.99698460824</v>
      </c>
      <c r="M18" s="241">
        <f t="shared" si="2"/>
        <v>571746.1367713121</v>
      </c>
      <c r="N18" s="242">
        <f>IF($A18&lt;=$N$4,N$15*'General Data'!$S10,"")</f>
        <v>20920</v>
      </c>
      <c r="O18" s="243">
        <f>IF(A18&lt;&gt;"",IF(O$15="",VLOOKUP(A18,'DOE Fuel Esc Rates'!$T$9:$W$38,4,TRUE),O$15),"")</f>
        <v>-1.1111111111110628E-3</v>
      </c>
      <c r="P18" s="243">
        <f>((1+O18)*(1+'General Data'!$M$25))-1</f>
        <v>-1.1222222222229128E-4</v>
      </c>
      <c r="Q18" s="253">
        <f t="shared" si="12"/>
        <v>21179.144144144146</v>
      </c>
      <c r="R18" s="253">
        <f t="shared" si="3"/>
        <v>19144.763513668098</v>
      </c>
      <c r="S18" s="241">
        <f t="shared" si="4"/>
        <v>19381.917115751825</v>
      </c>
      <c r="T18" s="242">
        <f t="shared" si="5"/>
        <v>0</v>
      </c>
      <c r="U18" s="245">
        <f t="shared" si="6"/>
        <v>0</v>
      </c>
      <c r="V18" s="246">
        <f>IF($A18&lt;=$N$4,VLOOKUP(A18,'DOE Fuel Esc Rates'!$T$9:$W$38,2,TRUE),"")</f>
        <v>2017</v>
      </c>
      <c r="W18" s="247">
        <f t="shared" si="7"/>
        <v>645941.58493984968</v>
      </c>
      <c r="X18" s="241">
        <f t="shared" si="8"/>
        <v>591128.05388706387</v>
      </c>
      <c r="Y18" s="248">
        <f>IF(A18&lt;&gt;"",SUM(X$15:X18),"")</f>
        <v>2088064.974871811</v>
      </c>
      <c r="Z18" s="249">
        <f>IF(A18&lt;&gt;"",LCC0!Y18-Y18,"")</f>
        <v>-42513.635284778895</v>
      </c>
      <c r="AA18" s="312" t="str">
        <f>IF(A18&lt;&gt;"",IF(Z18&gt;0,IF(SUM(AA$16:AA17)=0,A17+(-Z17)/(Z18-Z17),""),""),"")</f>
        <v/>
      </c>
      <c r="AB18" s="198"/>
      <c r="AC18" s="251">
        <f t="shared" si="9"/>
        <v>645941.58493984968</v>
      </c>
      <c r="AE18" s="198"/>
    </row>
    <row r="19" spans="1:31" x14ac:dyDescent="0.2">
      <c r="A19" s="176">
        <f t="shared" si="13"/>
        <v>4</v>
      </c>
      <c r="B19" s="56"/>
      <c r="C19" s="51">
        <v>0</v>
      </c>
      <c r="D19" s="252">
        <f t="shared" si="10"/>
        <v>0</v>
      </c>
      <c r="E19" s="56"/>
      <c r="F19" s="51">
        <v>0</v>
      </c>
      <c r="G19" s="241">
        <f t="shared" si="0"/>
        <v>0</v>
      </c>
      <c r="H19" s="242">
        <f>IF($A19&lt;=$N$4,H$15*'General Data'!$S11,"")</f>
        <v>606010</v>
      </c>
      <c r="I19" s="243">
        <f>IF(A19&lt;&gt;"",IF(I$15="",VLOOKUP(A19,'DOE Fuel Esc Rates'!$T$9:$W$38,3,TRUE),I$15),"")</f>
        <v>-7.9632465543644226E-3</v>
      </c>
      <c r="J19" s="243">
        <f>((1+I19)*(1+'General Data'!$M$25))-1</f>
        <v>-6.9712098009189205E-3</v>
      </c>
      <c r="K19" s="253">
        <f t="shared" si="11"/>
        <v>619787.30344174278</v>
      </c>
      <c r="L19" s="253">
        <f t="shared" si="1"/>
        <v>538432.03590738669</v>
      </c>
      <c r="M19" s="241">
        <f t="shared" si="2"/>
        <v>550672.99157057935</v>
      </c>
      <c r="N19" s="242">
        <f>IF($A19&lt;=$N$4,N$15*'General Data'!$S11,"")</f>
        <v>20920</v>
      </c>
      <c r="O19" s="243">
        <f>IF(A19&lt;&gt;"",IF(O$15="",VLOOKUP(A19,'DOE Fuel Esc Rates'!$T$9:$W$38,4,TRUE),O$15),"")</f>
        <v>3.6707452725250223E-2</v>
      </c>
      <c r="P19" s="243">
        <f>((1+O19)*(1+'General Data'!$M$25))-1</f>
        <v>3.7744160177975328E-2</v>
      </c>
      <c r="Q19" s="253">
        <f t="shared" si="12"/>
        <v>21956.576576576575</v>
      </c>
      <c r="R19" s="253">
        <f t="shared" si="3"/>
        <v>18587.149042396213</v>
      </c>
      <c r="S19" s="241">
        <f t="shared" si="4"/>
        <v>19508.133904857285</v>
      </c>
      <c r="T19" s="242">
        <f t="shared" si="5"/>
        <v>0</v>
      </c>
      <c r="U19" s="245">
        <f t="shared" si="6"/>
        <v>0</v>
      </c>
      <c r="V19" s="246">
        <f>IF($A19&lt;=$N$4,VLOOKUP(A19,'DOE Fuel Esc Rates'!$T$9:$W$38,2,TRUE),"")</f>
        <v>2018</v>
      </c>
      <c r="W19" s="247">
        <f t="shared" si="7"/>
        <v>641743.88001831935</v>
      </c>
      <c r="X19" s="241">
        <f t="shared" si="8"/>
        <v>570181.12547543668</v>
      </c>
      <c r="Y19" s="248">
        <f>IF(A19&lt;&gt;"",SUM(X$15:X19),"")</f>
        <v>2658246.1003472479</v>
      </c>
      <c r="Z19" s="249">
        <f>IF(A19&lt;&gt;"",LCC0!Y19-Y19,"")</f>
        <v>7296.3353746137582</v>
      </c>
      <c r="AA19" s="312">
        <f>IF(A19&lt;&gt;"",IF(Z19&gt;0,IF(SUM(AA$16:AA18)=0,A18+(-Z18)/(Z19-Z18),""),""),"")</f>
        <v>3.8535165695136202</v>
      </c>
      <c r="AB19" s="198"/>
      <c r="AC19" s="251">
        <f t="shared" si="9"/>
        <v>641743.88001831935</v>
      </c>
      <c r="AE19" s="198"/>
    </row>
    <row r="20" spans="1:31" x14ac:dyDescent="0.2">
      <c r="A20" s="176">
        <f t="shared" si="13"/>
        <v>5</v>
      </c>
      <c r="B20" s="56"/>
      <c r="C20" s="51">
        <v>0</v>
      </c>
      <c r="D20" s="252">
        <f t="shared" si="10"/>
        <v>0</v>
      </c>
      <c r="E20" s="56"/>
      <c r="F20" s="51">
        <v>0</v>
      </c>
      <c r="G20" s="241">
        <f t="shared" si="0"/>
        <v>0</v>
      </c>
      <c r="H20" s="242">
        <f>IF($A20&lt;=$N$4,H$15*'General Data'!$S12,"")</f>
        <v>606010</v>
      </c>
      <c r="I20" s="243">
        <f>IF(A20&lt;&gt;"",IF(I$15="",VLOOKUP(A20,'DOE Fuel Esc Rates'!$T$9:$W$38,3,TRUE),I$15),"")</f>
        <v>6.1747452917559897E-4</v>
      </c>
      <c r="J20" s="243">
        <f>((1+I20)*(1+'General Data'!$M$25))-1</f>
        <v>1.6180920037047741E-3</v>
      </c>
      <c r="K20" s="253">
        <f t="shared" si="11"/>
        <v>620170.00631512445</v>
      </c>
      <c r="L20" s="253">
        <f t="shared" si="1"/>
        <v>522749.5494246473</v>
      </c>
      <c r="M20" s="241">
        <f t="shared" si="2"/>
        <v>534964.09525900893</v>
      </c>
      <c r="N20" s="242">
        <f>IF($A20&lt;=$N$4,N$15*'General Data'!$S12,"")</f>
        <v>20920</v>
      </c>
      <c r="O20" s="243">
        <f>IF(A20&lt;&gt;"",IF(O$15="",VLOOKUP(A20,'DOE Fuel Esc Rates'!$T$9:$W$38,4,TRUE),O$15),"")</f>
        <v>4.7210300429184393E-2</v>
      </c>
      <c r="P20" s="243">
        <f>((1+O20)*(1+'General Data'!$M$25))-1</f>
        <v>4.8257510729613484E-2</v>
      </c>
      <c r="Q20" s="253">
        <f t="shared" si="12"/>
        <v>22993.153153153147</v>
      </c>
      <c r="R20" s="253">
        <f t="shared" si="3"/>
        <v>18045.775769316711</v>
      </c>
      <c r="S20" s="241">
        <f t="shared" si="4"/>
        <v>19834.095890600347</v>
      </c>
      <c r="T20" s="242">
        <f t="shared" si="5"/>
        <v>0</v>
      </c>
      <c r="U20" s="245">
        <f t="shared" si="6"/>
        <v>0</v>
      </c>
      <c r="V20" s="246">
        <f>IF($A20&lt;=$N$4,VLOOKUP(A20,'DOE Fuel Esc Rates'!$T$9:$W$38,2,TRUE),"")</f>
        <v>2019</v>
      </c>
      <c r="W20" s="247">
        <f t="shared" si="7"/>
        <v>643163.15946827759</v>
      </c>
      <c r="X20" s="241">
        <f t="shared" si="8"/>
        <v>554798.19114960928</v>
      </c>
      <c r="Y20" s="248">
        <f>IF(A20&lt;&gt;"",SUM(X$15:X20),"")</f>
        <v>3213044.2914968571</v>
      </c>
      <c r="Z20" s="249">
        <f>IF(A20&lt;&gt;"",LCC0!Y20-Y20,"")</f>
        <v>55870.995281822514</v>
      </c>
      <c r="AA20" s="312" t="str">
        <f>IF(A20&lt;&gt;"",IF(Z20&gt;0,IF(SUM(AA$16:AA19)=0,A19+(-Z19)/(Z20-Z19),""),""),"")</f>
        <v/>
      </c>
      <c r="AB20" s="198"/>
      <c r="AC20" s="251">
        <f t="shared" si="9"/>
        <v>643163.15946827759</v>
      </c>
      <c r="AE20" s="198"/>
    </row>
    <row r="21" spans="1:31" x14ac:dyDescent="0.2">
      <c r="A21" s="176">
        <f t="shared" si="13"/>
        <v>6</v>
      </c>
      <c r="B21" s="56"/>
      <c r="C21" s="51">
        <v>0</v>
      </c>
      <c r="D21" s="252">
        <f t="shared" si="10"/>
        <v>0</v>
      </c>
      <c r="E21" s="56"/>
      <c r="F21" s="51">
        <v>0</v>
      </c>
      <c r="G21" s="241">
        <f t="shared" si="0"/>
        <v>0</v>
      </c>
      <c r="H21" s="242">
        <f>IF($A21&lt;=$N$4,H$15*'General Data'!$S13,"")</f>
        <v>606010</v>
      </c>
      <c r="I21" s="243">
        <f>IF(A21&lt;&gt;"",IF(I$15="",VLOOKUP(A21,'DOE Fuel Esc Rates'!$T$9:$W$38,3,TRUE),I$15),"")</f>
        <v>3.7025609379821578E-3</v>
      </c>
      <c r="J21" s="243">
        <f>((1+I21)*(1+'General Data'!$M$25))-1</f>
        <v>4.7062634989201158E-3</v>
      </c>
      <c r="K21" s="253">
        <f t="shared" si="11"/>
        <v>622466.22355541494</v>
      </c>
      <c r="L21" s="253">
        <f t="shared" si="1"/>
        <v>507523.8343928614</v>
      </c>
      <c r="M21" s="241">
        <f t="shared" si="2"/>
        <v>521305.66254498815</v>
      </c>
      <c r="N21" s="242">
        <f>IF($A21&lt;=$N$4,N$15*'General Data'!$S13,"")</f>
        <v>20920</v>
      </c>
      <c r="O21" s="243">
        <f>IF(A21&lt;&gt;"",IF(O$15="",VLOOKUP(A21,'DOE Fuel Esc Rates'!$T$9:$W$38,4,TRUE),O$15),"")</f>
        <v>3.5860655737704805E-2</v>
      </c>
      <c r="P21" s="243">
        <f>((1+O21)*(1+'General Data'!$M$25))-1</f>
        <v>3.6896516393442491E-2</v>
      </c>
      <c r="Q21" s="253">
        <f t="shared" si="12"/>
        <v>23817.702702702692</v>
      </c>
      <c r="R21" s="253">
        <f t="shared" si="3"/>
        <v>17520.170649822052</v>
      </c>
      <c r="S21" s="241">
        <f t="shared" si="4"/>
        <v>19946.95104388523</v>
      </c>
      <c r="T21" s="242">
        <f t="shared" si="5"/>
        <v>0</v>
      </c>
      <c r="U21" s="245">
        <f t="shared" si="6"/>
        <v>0</v>
      </c>
      <c r="V21" s="246">
        <f>IF($A21&lt;=$N$4,VLOOKUP(A21,'DOE Fuel Esc Rates'!$T$9:$W$38,2,TRUE),"")</f>
        <v>2020</v>
      </c>
      <c r="W21" s="247">
        <f t="shared" si="7"/>
        <v>646283.92625811766</v>
      </c>
      <c r="X21" s="241">
        <f t="shared" si="8"/>
        <v>541252.61358887341</v>
      </c>
      <c r="Y21" s="248">
        <f>IF(A21&lt;&gt;"",SUM(X$15:X21),"")</f>
        <v>3754296.9050857304</v>
      </c>
      <c r="Z21" s="249">
        <f>IF(A21&lt;&gt;"",LCC0!Y21-Y21,"")</f>
        <v>103335.71516947076</v>
      </c>
      <c r="AA21" s="312" t="str">
        <f>IF(A21&lt;&gt;"",IF(Z21&gt;0,IF(SUM(AA$16:AA20)=0,A20+(-Z20)/(Z21-Z20),""),""),"")</f>
        <v/>
      </c>
      <c r="AB21" s="198"/>
      <c r="AC21" s="251">
        <f t="shared" si="9"/>
        <v>646283.92625811766</v>
      </c>
      <c r="AE21" s="198"/>
    </row>
    <row r="22" spans="1:31" x14ac:dyDescent="0.2">
      <c r="A22" s="176">
        <f t="shared" si="13"/>
        <v>7</v>
      </c>
      <c r="B22" s="56"/>
      <c r="C22" s="51">
        <v>0</v>
      </c>
      <c r="D22" s="252">
        <f t="shared" si="10"/>
        <v>0</v>
      </c>
      <c r="E22" s="56"/>
      <c r="F22" s="51">
        <v>0</v>
      </c>
      <c r="G22" s="241">
        <f t="shared" si="0"/>
        <v>0</v>
      </c>
      <c r="H22" s="242">
        <f>IF($A22&lt;=$N$4,H$15*'General Data'!$S14,"")</f>
        <v>606010</v>
      </c>
      <c r="I22" s="243">
        <f>IF(A22&lt;&gt;"",IF(I$15="",VLOOKUP(A22,'DOE Fuel Esc Rates'!$T$9:$W$38,3,TRUE),I$15),"")</f>
        <v>1.8444512757456177E-3</v>
      </c>
      <c r="J22" s="243">
        <f>((1+I22)*(1+'General Data'!$M$25))-1</f>
        <v>2.8462957270212197E-3</v>
      </c>
      <c r="K22" s="253">
        <f t="shared" si="11"/>
        <v>623614.3321755603</v>
      </c>
      <c r="L22" s="253">
        <f t="shared" si="1"/>
        <v>492741.58678918582</v>
      </c>
      <c r="M22" s="241">
        <f t="shared" si="2"/>
        <v>507055.51984400256</v>
      </c>
      <c r="N22" s="242">
        <f>IF($A22&lt;=$N$4,N$15*'General Data'!$S14,"")</f>
        <v>20920</v>
      </c>
      <c r="O22" s="243">
        <f>IF(A22&lt;&gt;"",IF(O$15="",VLOOKUP(A22,'DOE Fuel Esc Rates'!$T$9:$W$38,4,TRUE),O$15),"")</f>
        <v>2.0771513353115889E-2</v>
      </c>
      <c r="P22" s="243">
        <f>((1+O22)*(1+'General Data'!$M$25))-1</f>
        <v>2.1792284866468892E-2</v>
      </c>
      <c r="Q22" s="253">
        <f t="shared" si="12"/>
        <v>24312.432432432426</v>
      </c>
      <c r="R22" s="253">
        <f t="shared" si="3"/>
        <v>17009.874417302959</v>
      </c>
      <c r="S22" s="241">
        <f t="shared" si="4"/>
        <v>19768.232430919652</v>
      </c>
      <c r="T22" s="242">
        <f t="shared" si="5"/>
        <v>0</v>
      </c>
      <c r="U22" s="245">
        <f t="shared" si="6"/>
        <v>0</v>
      </c>
      <c r="V22" s="246">
        <f>IF($A22&lt;=$N$4,VLOOKUP(A22,'DOE Fuel Esc Rates'!$T$9:$W$38,2,TRUE),"")</f>
        <v>2021</v>
      </c>
      <c r="W22" s="247">
        <f t="shared" si="7"/>
        <v>647926.76460799272</v>
      </c>
      <c r="X22" s="241">
        <f t="shared" si="8"/>
        <v>526823.75227492221</v>
      </c>
      <c r="Y22" s="248">
        <f>IF(A22&lt;&gt;"",SUM(X$15:X22),"")</f>
        <v>4281120.6573606525</v>
      </c>
      <c r="Z22" s="249">
        <f>IF(A22&lt;&gt;"",LCC0!Y22-Y22,"")</f>
        <v>149580.05669992417</v>
      </c>
      <c r="AA22" s="312" t="str">
        <f>IF(A22&lt;&gt;"",IF(Z22&gt;0,IF(SUM(AA$16:AA21)=0,A21+(-Z21)/(Z22-Z21),""),""),"")</f>
        <v/>
      </c>
      <c r="AB22" s="198"/>
      <c r="AC22" s="251">
        <f t="shared" si="9"/>
        <v>647926.76460799272</v>
      </c>
      <c r="AE22" s="198"/>
    </row>
    <row r="23" spans="1:31" x14ac:dyDescent="0.2">
      <c r="A23" s="176">
        <f t="shared" si="13"/>
        <v>8</v>
      </c>
      <c r="B23" s="56"/>
      <c r="C23" s="51">
        <v>0</v>
      </c>
      <c r="D23" s="252">
        <f t="shared" si="10"/>
        <v>0</v>
      </c>
      <c r="E23" s="56" t="s">
        <v>50</v>
      </c>
      <c r="F23" s="51">
        <v>0</v>
      </c>
      <c r="G23" s="241">
        <f t="shared" si="0"/>
        <v>0</v>
      </c>
      <c r="H23" s="242">
        <f>IF($A23&lt;=$N$4,H$15*'General Data'!$S15,"")</f>
        <v>606010</v>
      </c>
      <c r="I23" s="243">
        <f>IF(A23&lt;&gt;"",IF(I$15="",VLOOKUP(A23,'DOE Fuel Esc Rates'!$T$9:$W$38,3,TRUE),I$15),"")</f>
        <v>-2.1478981282602172E-3</v>
      </c>
      <c r="J23" s="243">
        <f>((1+I23)*(1+'General Data'!$M$25))-1</f>
        <v>-1.1500460263885737E-3</v>
      </c>
      <c r="K23" s="253">
        <f t="shared" si="11"/>
        <v>622274.87211872416</v>
      </c>
      <c r="L23" s="253">
        <f t="shared" si="1"/>
        <v>478389.89008658822</v>
      </c>
      <c r="M23" s="241">
        <f t="shared" si="2"/>
        <v>491229.53033204435</v>
      </c>
      <c r="N23" s="242">
        <f>IF($A23&lt;=$N$4,N$15*'General Data'!$S15,"")</f>
        <v>20920</v>
      </c>
      <c r="O23" s="243">
        <f>IF(A23&lt;&gt;"",IF(O$15="",VLOOKUP(A23,'DOE Fuel Esc Rates'!$T$9:$W$38,4,TRUE),O$15),"")</f>
        <v>1.744186046511631E-2</v>
      </c>
      <c r="P23" s="243">
        <f>((1+O23)*(1+'General Data'!$M$25))-1</f>
        <v>1.8459302325581239E-2</v>
      </c>
      <c r="Q23" s="253">
        <f t="shared" si="12"/>
        <v>24736.486486486479</v>
      </c>
      <c r="R23" s="253">
        <f t="shared" si="3"/>
        <v>16514.441181847538</v>
      </c>
      <c r="S23" s="241">
        <f t="shared" si="4"/>
        <v>19527.210856914313</v>
      </c>
      <c r="T23" s="242">
        <f t="shared" si="5"/>
        <v>0</v>
      </c>
      <c r="U23" s="245">
        <f t="shared" si="6"/>
        <v>0</v>
      </c>
      <c r="V23" s="246">
        <f>IF($A23&lt;=$N$4,VLOOKUP(A23,'DOE Fuel Esc Rates'!$T$9:$W$38,2,TRUE),"")</f>
        <v>2022</v>
      </c>
      <c r="W23" s="247">
        <f t="shared" si="7"/>
        <v>647011.35860521067</v>
      </c>
      <c r="X23" s="241">
        <f t="shared" si="8"/>
        <v>510756.74118895864</v>
      </c>
      <c r="Y23" s="248">
        <f>IF(A23&lt;&gt;"",SUM(X$15:X23),"")</f>
        <v>4791877.3985496107</v>
      </c>
      <c r="Z23" s="249">
        <f>IF(A23&lt;&gt;"",LCC0!Y23-Y23,"")</f>
        <v>194460.11767218728</v>
      </c>
      <c r="AA23" s="312" t="str">
        <f>IF(A23&lt;&gt;"",IF(Z23&gt;0,IF(SUM(AA$16:AA22)=0,A22+(-Z22)/(Z23-Z22),""),""),"")</f>
        <v/>
      </c>
      <c r="AB23" s="198"/>
      <c r="AC23" s="251">
        <f t="shared" si="9"/>
        <v>647011.35860521067</v>
      </c>
      <c r="AE23" s="198"/>
    </row>
    <row r="24" spans="1:31" x14ac:dyDescent="0.2">
      <c r="A24" s="176">
        <f t="shared" si="13"/>
        <v>9</v>
      </c>
      <c r="B24" s="56"/>
      <c r="C24" s="51">
        <v>0</v>
      </c>
      <c r="D24" s="252">
        <f t="shared" si="10"/>
        <v>0</v>
      </c>
      <c r="E24" s="56"/>
      <c r="F24" s="51">
        <v>0</v>
      </c>
      <c r="G24" s="241">
        <f t="shared" si="0"/>
        <v>0</v>
      </c>
      <c r="H24" s="242">
        <f>IF($A24&lt;=$N$4,H$15*'General Data'!$S16,"")</f>
        <v>606010</v>
      </c>
      <c r="I24" s="243">
        <f>IF(A24&lt;&gt;"",IF(I$15="",VLOOKUP(A24,'DOE Fuel Esc Rates'!$T$9:$W$38,3,TRUE),I$15),"")</f>
        <v>-2.4600246002461912E-3</v>
      </c>
      <c r="J24" s="243">
        <f>((1+I24)*(1+'General Data'!$M$25))-1</f>
        <v>-1.4624846248465495E-3</v>
      </c>
      <c r="K24" s="253">
        <f t="shared" si="11"/>
        <v>620744.06062519702</v>
      </c>
      <c r="L24" s="253">
        <f t="shared" si="1"/>
        <v>464456.20396756136</v>
      </c>
      <c r="M24" s="241">
        <f t="shared" si="2"/>
        <v>475748.63456607773</v>
      </c>
      <c r="N24" s="242">
        <f>IF($A24&lt;=$N$4,N$15*'General Data'!$S16,"")</f>
        <v>20920</v>
      </c>
      <c r="O24" s="243">
        <f>IF(A24&lt;&gt;"",IF(O$15="",VLOOKUP(A24,'DOE Fuel Esc Rates'!$T$9:$W$38,4,TRUE),O$15),"")</f>
        <v>1.0476190476190528E-2</v>
      </c>
      <c r="P24" s="243">
        <f>((1+O24)*(1+'General Data'!$M$25))-1</f>
        <v>1.1486666666666645E-2</v>
      </c>
      <c r="Q24" s="253">
        <f t="shared" si="12"/>
        <v>24995.630630630625</v>
      </c>
      <c r="R24" s="253">
        <f t="shared" si="3"/>
        <v>16033.438040628676</v>
      </c>
      <c r="S24" s="241">
        <f t="shared" si="4"/>
        <v>19157.069550796194</v>
      </c>
      <c r="T24" s="242">
        <f t="shared" si="5"/>
        <v>0</v>
      </c>
      <c r="U24" s="245">
        <f t="shared" si="6"/>
        <v>0</v>
      </c>
      <c r="V24" s="246">
        <f>IF($A24&lt;=$N$4,VLOOKUP(A24,'DOE Fuel Esc Rates'!$T$9:$W$38,2,TRUE),"")</f>
        <v>2023</v>
      </c>
      <c r="W24" s="247">
        <f t="shared" si="7"/>
        <v>645739.69125582767</v>
      </c>
      <c r="X24" s="241">
        <f t="shared" si="8"/>
        <v>494905.70411687391</v>
      </c>
      <c r="Y24" s="248">
        <f>IF(A24&lt;&gt;"",SUM(X$15:X24),"")</f>
        <v>5286783.1026664842</v>
      </c>
      <c r="Z24" s="249">
        <f>IF(A24&lt;&gt;"",LCC0!Y24-Y24,"")</f>
        <v>237977.38441960793</v>
      </c>
      <c r="AA24" s="312" t="str">
        <f>IF(A24&lt;&gt;"",IF(Z24&gt;0,IF(SUM(AA$16:AA23)=0,A23+(-Z23)/(Z24-Z23),""),""),"")</f>
        <v/>
      </c>
      <c r="AB24" s="198"/>
      <c r="AC24" s="251">
        <f t="shared" si="9"/>
        <v>645739.69125582767</v>
      </c>
      <c r="AE24" s="198"/>
    </row>
    <row r="25" spans="1:31" x14ac:dyDescent="0.2">
      <c r="A25" s="176">
        <f t="shared" si="13"/>
        <v>10</v>
      </c>
      <c r="B25" s="56"/>
      <c r="C25" s="51">
        <v>0</v>
      </c>
      <c r="D25" s="252">
        <f t="shared" si="10"/>
        <v>0</v>
      </c>
      <c r="E25" s="56"/>
      <c r="F25" s="51">
        <v>0</v>
      </c>
      <c r="G25" s="241">
        <f t="shared" si="0"/>
        <v>0</v>
      </c>
      <c r="H25" s="242">
        <f>IF($A25&lt;=$N$4,H$15*'General Data'!$S17,"")</f>
        <v>606010</v>
      </c>
      <c r="I25" s="243">
        <f>IF(A25&lt;&gt;"",IF(I$15="",VLOOKUP(A25,'DOE Fuel Esc Rates'!$T$9:$W$38,3,TRUE),I$15),"")</f>
        <v>2.1578298397040285E-3</v>
      </c>
      <c r="J25" s="243">
        <f>((1+I25)*(1+'General Data'!$M$25))-1</f>
        <v>3.159987669543618E-3</v>
      </c>
      <c r="K25" s="253">
        <f t="shared" si="11"/>
        <v>622083.52068203315</v>
      </c>
      <c r="L25" s="253">
        <f t="shared" si="1"/>
        <v>450928.35336656444</v>
      </c>
      <c r="M25" s="241">
        <f t="shared" si="2"/>
        <v>462888.56229703198</v>
      </c>
      <c r="N25" s="242">
        <f>IF($A25&lt;=$N$4,N$15*'General Data'!$S17,"")</f>
        <v>20920</v>
      </c>
      <c r="O25" s="243">
        <f>IF(A25&lt;&gt;"",IF(O$15="",VLOOKUP(A25,'DOE Fuel Esc Rates'!$T$9:$W$38,4,TRUE),O$15),"")</f>
        <v>1.6965127238454336E-2</v>
      </c>
      <c r="P25" s="243">
        <f>((1+O25)*(1+'General Data'!$M$25))-1</f>
        <v>1.7982092365692592E-2</v>
      </c>
      <c r="Q25" s="253">
        <f t="shared" si="12"/>
        <v>25419.684684684682</v>
      </c>
      <c r="R25" s="253">
        <f t="shared" si="3"/>
        <v>15566.444699639491</v>
      </c>
      <c r="S25" s="241">
        <f t="shared" si="4"/>
        <v>18914.632692467352</v>
      </c>
      <c r="T25" s="242">
        <f t="shared" si="5"/>
        <v>0</v>
      </c>
      <c r="U25" s="245">
        <f t="shared" si="6"/>
        <v>0</v>
      </c>
      <c r="V25" s="246">
        <f>IF($A25&lt;=$N$4,VLOOKUP(A25,'DOE Fuel Esc Rates'!$T$9:$W$38,2,TRUE),"")</f>
        <v>2024</v>
      </c>
      <c r="W25" s="247">
        <f t="shared" si="7"/>
        <v>647503.20536671788</v>
      </c>
      <c r="X25" s="241">
        <f t="shared" si="8"/>
        <v>481803.19498949934</v>
      </c>
      <c r="Y25" s="248">
        <f>IF(A25&lt;&gt;"",SUM(X$15:X25),"")</f>
        <v>5768586.2976559838</v>
      </c>
      <c r="Z25" s="249">
        <f>IF(A25&lt;&gt;"",LCC0!Y25-Y25,"")</f>
        <v>280376.24979643803</v>
      </c>
      <c r="AA25" s="312" t="str">
        <f>IF(A25&lt;&gt;"",IF(Z25&gt;0,IF(SUM(AA$16:AA24)=0,A24+(-Z24)/(Z25-Z24),""),""),"")</f>
        <v/>
      </c>
      <c r="AB25" s="198"/>
      <c r="AC25" s="251">
        <f t="shared" si="9"/>
        <v>647503.20536671788</v>
      </c>
      <c r="AE25" s="198"/>
    </row>
    <row r="26" spans="1:31" x14ac:dyDescent="0.2">
      <c r="A26" s="176">
        <f t="shared" si="13"/>
        <v>11</v>
      </c>
      <c r="B26" s="56"/>
      <c r="C26" s="51">
        <v>0</v>
      </c>
      <c r="D26" s="252">
        <f t="shared" si="10"/>
        <v>0</v>
      </c>
      <c r="E26" s="56"/>
      <c r="F26" s="51">
        <v>0</v>
      </c>
      <c r="G26" s="241">
        <f t="shared" si="0"/>
        <v>0</v>
      </c>
      <c r="H26" s="242">
        <f>IF($A26&lt;=$N$4,H$15*'General Data'!$S18,"")</f>
        <v>606010</v>
      </c>
      <c r="I26" s="243">
        <f>IF(A26&lt;&gt;"",IF(I$15="",VLOOKUP(A26,'DOE Fuel Esc Rates'!$T$9:$W$38,3,TRUE),I$15),"")</f>
        <v>3.9987696093510827E-3</v>
      </c>
      <c r="J26" s="243">
        <f>((1+I26)*(1+'General Data'!$M$25))-1</f>
        <v>5.0027683789604094E-3</v>
      </c>
      <c r="K26" s="253">
        <f t="shared" si="11"/>
        <v>624571.08935901464</v>
      </c>
      <c r="L26" s="253">
        <f t="shared" si="1"/>
        <v>437794.51783161593</v>
      </c>
      <c r="M26" s="241">
        <f t="shared" si="2"/>
        <v>451203.44370141899</v>
      </c>
      <c r="N26" s="242">
        <f>IF($A26&lt;=$N$4,N$15*'General Data'!$S18,"")</f>
        <v>20920</v>
      </c>
      <c r="O26" s="243">
        <f>IF(A26&lt;&gt;"",IF(O$15="",VLOOKUP(A26,'DOE Fuel Esc Rates'!$T$9:$W$38,4,TRUE),O$15),"")</f>
        <v>2.1316033364226161E-2</v>
      </c>
      <c r="P26" s="243">
        <f>((1+O26)*(1+'General Data'!$M$25))-1</f>
        <v>2.2337349397590245E-2</v>
      </c>
      <c r="Q26" s="253">
        <f t="shared" si="12"/>
        <v>25961.531531531531</v>
      </c>
      <c r="R26" s="253">
        <f t="shared" si="3"/>
        <v>15113.053106446107</v>
      </c>
      <c r="S26" s="241">
        <f t="shared" si="4"/>
        <v>18755.162751468029</v>
      </c>
      <c r="T26" s="242">
        <f t="shared" si="5"/>
        <v>0</v>
      </c>
      <c r="U26" s="245">
        <f t="shared" si="6"/>
        <v>0</v>
      </c>
      <c r="V26" s="246">
        <f>IF($A26&lt;=$N$4,VLOOKUP(A26,'DOE Fuel Esc Rates'!$T$9:$W$38,2,TRUE),"")</f>
        <v>2025</v>
      </c>
      <c r="W26" s="247">
        <f t="shared" si="7"/>
        <v>650532.62089054612</v>
      </c>
      <c r="X26" s="241">
        <f t="shared" si="8"/>
        <v>469958.606452887</v>
      </c>
      <c r="Y26" s="248">
        <f>IF(A26&lt;&gt;"",SUM(X$15:X26),"")</f>
        <v>6238544.9041088708</v>
      </c>
      <c r="Z26" s="249">
        <f>IF(A26&lt;&gt;"",LCC0!Y26-Y26,"")</f>
        <v>321771.68724686373</v>
      </c>
      <c r="AA26" s="312" t="str">
        <f>IF(A26&lt;&gt;"",IF(Z26&gt;0,IF(SUM(AA$16:AA25)=0,A25+(-Z25)/(Z26-Z25),""),""),"")</f>
        <v/>
      </c>
      <c r="AB26" s="198"/>
      <c r="AC26" s="251">
        <f t="shared" si="9"/>
        <v>650532.62089054612</v>
      </c>
      <c r="AE26" s="198"/>
    </row>
    <row r="27" spans="1:31" x14ac:dyDescent="0.2">
      <c r="A27" s="176">
        <f t="shared" si="13"/>
        <v>12</v>
      </c>
      <c r="B27" s="56"/>
      <c r="C27" s="51">
        <v>0</v>
      </c>
      <c r="D27" s="252">
        <f t="shared" si="10"/>
        <v>0</v>
      </c>
      <c r="E27" s="56"/>
      <c r="F27" s="51">
        <v>0</v>
      </c>
      <c r="G27" s="241">
        <f t="shared" si="0"/>
        <v>0</v>
      </c>
      <c r="H27" s="242">
        <f>IF($A27&lt;=$N$4,H$15*'General Data'!$S19,"")</f>
        <v>606010</v>
      </c>
      <c r="I27" s="243">
        <f>IF(A27&lt;&gt;"",IF(I$15="",VLOOKUP(A27,'DOE Fuel Esc Rates'!$T$9:$W$38,3,TRUE),I$15),"")</f>
        <v>1.5318627450979783E-3</v>
      </c>
      <c r="J27" s="243">
        <f>((1+I27)*(1+'General Data'!$M$25))-1</f>
        <v>2.5333946078429648E-3</v>
      </c>
      <c r="K27" s="253">
        <f t="shared" si="11"/>
        <v>625527.84654246899</v>
      </c>
      <c r="L27" s="253">
        <f t="shared" si="1"/>
        <v>425043.22119574371</v>
      </c>
      <c r="M27" s="241">
        <f t="shared" si="2"/>
        <v>438732.64606532542</v>
      </c>
      <c r="N27" s="242">
        <f>IF($A27&lt;=$N$4,N$15*'General Data'!$S19,"")</f>
        <v>20920</v>
      </c>
      <c r="O27" s="243">
        <f>IF(A27&lt;&gt;"",IF(O$15="",VLOOKUP(A27,'DOE Fuel Esc Rates'!$T$9:$W$38,4,TRUE),O$15),"")</f>
        <v>5.4446460980037692E-3</v>
      </c>
      <c r="P27" s="243">
        <f>((1+O27)*(1+'General Data'!$M$25))-1</f>
        <v>6.4500907441016331E-3</v>
      </c>
      <c r="Q27" s="253">
        <f t="shared" si="12"/>
        <v>26102.882882882885</v>
      </c>
      <c r="R27" s="253">
        <f t="shared" si="3"/>
        <v>14672.867093637</v>
      </c>
      <c r="S27" s="241">
        <f t="shared" si="4"/>
        <v>18308.036869087609</v>
      </c>
      <c r="T27" s="242">
        <f t="shared" si="5"/>
        <v>0</v>
      </c>
      <c r="U27" s="245">
        <f t="shared" si="6"/>
        <v>0</v>
      </c>
      <c r="V27" s="246">
        <f>IF($A27&lt;=$N$4,VLOOKUP(A27,'DOE Fuel Esc Rates'!$T$9:$W$38,2,TRUE),"")</f>
        <v>2026</v>
      </c>
      <c r="W27" s="247">
        <f t="shared" si="7"/>
        <v>651630.72942535183</v>
      </c>
      <c r="X27" s="241">
        <f t="shared" si="8"/>
        <v>457040.68293441302</v>
      </c>
      <c r="Y27" s="248">
        <f>IF(A27&lt;&gt;"",SUM(X$15:X27),"")</f>
        <v>6695585.5870432835</v>
      </c>
      <c r="Z27" s="249">
        <f>IF(A27&lt;&gt;"",LCC0!Y27-Y27,"")</f>
        <v>362037.98264402337</v>
      </c>
      <c r="AA27" s="312" t="str">
        <f>IF(A27&lt;&gt;"",IF(Z27&gt;0,IF(SUM(AA$16:AA26)=0,A26+(-Z26)/(Z27-Z26),""),""),"")</f>
        <v/>
      </c>
      <c r="AB27" s="198"/>
      <c r="AC27" s="251">
        <f t="shared" si="9"/>
        <v>651630.72942535183</v>
      </c>
      <c r="AE27" s="198"/>
    </row>
    <row r="28" spans="1:31" x14ac:dyDescent="0.2">
      <c r="A28" s="176">
        <f t="shared" si="13"/>
        <v>13</v>
      </c>
      <c r="B28" s="56"/>
      <c r="C28" s="51">
        <v>0</v>
      </c>
      <c r="D28" s="252">
        <f t="shared" si="10"/>
        <v>0</v>
      </c>
      <c r="E28" s="56"/>
      <c r="F28" s="51">
        <v>0</v>
      </c>
      <c r="G28" s="241">
        <f t="shared" si="0"/>
        <v>0</v>
      </c>
      <c r="H28" s="242">
        <f>IF($A28&lt;=$N$4,H$15*'General Data'!$S20,"")</f>
        <v>606010</v>
      </c>
      <c r="I28" s="243">
        <f>IF(A28&lt;&gt;"",IF(I$15="",VLOOKUP(A28,'DOE Fuel Esc Rates'!$T$9:$W$38,3,TRUE),I$15),"")</f>
        <v>-4.282655246252709E-3</v>
      </c>
      <c r="J28" s="243">
        <f>((1+I28)*(1+'General Data'!$M$25))-1</f>
        <v>-3.2869379014990319E-3</v>
      </c>
      <c r="K28" s="253">
        <f t="shared" si="11"/>
        <v>622848.92642879672</v>
      </c>
      <c r="L28" s="253">
        <f t="shared" si="1"/>
        <v>412663.32154926576</v>
      </c>
      <c r="M28" s="241">
        <f t="shared" si="2"/>
        <v>424129.81106500141</v>
      </c>
      <c r="N28" s="242">
        <f>IF($A28&lt;=$N$4,N$15*'General Data'!$S20,"")</f>
        <v>20920</v>
      </c>
      <c r="O28" s="243">
        <f>IF(A28&lt;&gt;"",IF(O$15="",VLOOKUP(A28,'DOE Fuel Esc Rates'!$T$9:$W$38,4,TRUE),O$15),"")</f>
        <v>-7.2202166064981865E-3</v>
      </c>
      <c r="P28" s="243">
        <f>((1+O28)*(1+'General Data'!$M$25))-1</f>
        <v>-6.2274368231047816E-3</v>
      </c>
      <c r="Q28" s="253">
        <f t="shared" si="12"/>
        <v>25914.414414414416</v>
      </c>
      <c r="R28" s="253">
        <f t="shared" si="3"/>
        <v>14245.502032657281</v>
      </c>
      <c r="S28" s="241">
        <f t="shared" si="4"/>
        <v>17646.455220634019</v>
      </c>
      <c r="T28" s="242">
        <f t="shared" si="5"/>
        <v>0</v>
      </c>
      <c r="U28" s="245">
        <f t="shared" si="6"/>
        <v>0</v>
      </c>
      <c r="V28" s="246">
        <f>IF($A28&lt;=$N$4,VLOOKUP(A28,'DOE Fuel Esc Rates'!$T$9:$W$38,2,TRUE),"")</f>
        <v>2027</v>
      </c>
      <c r="W28" s="247">
        <f t="shared" si="7"/>
        <v>648763.34084321116</v>
      </c>
      <c r="X28" s="241">
        <f t="shared" si="8"/>
        <v>441776.26628563541</v>
      </c>
      <c r="Y28" s="248">
        <f>IF(A28&lt;&gt;"",SUM(X$15:X28),"")</f>
        <v>7137361.853328919</v>
      </c>
      <c r="Z28" s="249">
        <f>IF(A28&lt;&gt;"",LCC0!Y28-Y28,"")</f>
        <v>400953.0673511941</v>
      </c>
      <c r="AA28" s="312" t="str">
        <f>IF(A28&lt;&gt;"",IF(Z28&gt;0,IF(SUM(AA$16:AA27)=0,A27+(-Z27)/(Z28-Z27),""),""),"")</f>
        <v/>
      </c>
      <c r="AB28" s="198"/>
      <c r="AC28" s="251">
        <f t="shared" si="9"/>
        <v>648763.34084321116</v>
      </c>
      <c r="AE28" s="198"/>
    </row>
    <row r="29" spans="1:31" x14ac:dyDescent="0.2">
      <c r="A29" s="176">
        <f t="shared" si="13"/>
        <v>14</v>
      </c>
      <c r="B29" s="56"/>
      <c r="C29" s="51">
        <v>0</v>
      </c>
      <c r="D29" s="252">
        <f t="shared" si="10"/>
        <v>0</v>
      </c>
      <c r="E29" s="56"/>
      <c r="F29" s="51">
        <v>0</v>
      </c>
      <c r="G29" s="241">
        <f t="shared" si="0"/>
        <v>0</v>
      </c>
      <c r="H29" s="242">
        <f>IF($A29&lt;=$N$4,H$15*'General Data'!$S21,"")</f>
        <v>606010</v>
      </c>
      <c r="I29" s="243">
        <f>IF(A29&lt;&gt;"",IF(I$15="",VLOOKUP(A29,'DOE Fuel Esc Rates'!$T$9:$W$38,3,TRUE),I$15),"")</f>
        <v>-7.0660522273424675E-3</v>
      </c>
      <c r="J29" s="243">
        <f>((1+I29)*(1+'General Data'!$M$25))-1</f>
        <v>-6.0731182795699112E-3</v>
      </c>
      <c r="K29" s="253">
        <f t="shared" si="11"/>
        <v>618447.84338490665</v>
      </c>
      <c r="L29" s="253">
        <f t="shared" si="1"/>
        <v>400644.00150414143</v>
      </c>
      <c r="M29" s="241">
        <f t="shared" si="2"/>
        <v>408866.88123188657</v>
      </c>
      <c r="N29" s="242">
        <f>IF($A29&lt;=$N$4,N$15*'General Data'!$S21,"")</f>
        <v>20920</v>
      </c>
      <c r="O29" s="243">
        <f>IF(A29&lt;&gt;"",IF(O$15="",VLOOKUP(A29,'DOE Fuel Esc Rates'!$T$9:$W$38,4,TRUE),O$15),"")</f>
        <v>-4.5454545454546302E-3</v>
      </c>
      <c r="P29" s="243">
        <f>((1+O29)*(1+'General Data'!$M$25))-1</f>
        <v>-3.5500000000001641E-3</v>
      </c>
      <c r="Q29" s="253">
        <f t="shared" si="12"/>
        <v>25796.62162162162</v>
      </c>
      <c r="R29" s="253">
        <f t="shared" si="3"/>
        <v>13830.584497725515</v>
      </c>
      <c r="S29" s="241">
        <f t="shared" si="4"/>
        <v>17054.605884019638</v>
      </c>
      <c r="T29" s="242">
        <f t="shared" si="5"/>
        <v>0</v>
      </c>
      <c r="U29" s="245">
        <f t="shared" si="6"/>
        <v>0</v>
      </c>
      <c r="V29" s="246">
        <f>IF($A29&lt;=$N$4,VLOOKUP(A29,'DOE Fuel Esc Rates'!$T$9:$W$38,2,TRUE),"")</f>
        <v>2028</v>
      </c>
      <c r="W29" s="247">
        <f t="shared" si="7"/>
        <v>644244.46500652831</v>
      </c>
      <c r="X29" s="241">
        <f t="shared" si="8"/>
        <v>425921.4871159062</v>
      </c>
      <c r="Y29" s="248">
        <f>IF(A29&lt;&gt;"",SUM(X$15:X29),"")</f>
        <v>7563283.3404448256</v>
      </c>
      <c r="Z29" s="249">
        <f>IF(A29&lt;&gt;"",LCC0!Y29-Y29,"")</f>
        <v>438476.8186746547</v>
      </c>
      <c r="AA29" s="312" t="str">
        <f>IF(A29&lt;&gt;"",IF(Z29&gt;0,IF(SUM(AA$16:AA28)=0,A28+(-Z28)/(Z29-Z28),""),""),"")</f>
        <v/>
      </c>
      <c r="AB29" s="198"/>
      <c r="AC29" s="251">
        <f t="shared" si="9"/>
        <v>644244.46500652831</v>
      </c>
      <c r="AE29" s="198"/>
    </row>
    <row r="30" spans="1:31" x14ac:dyDescent="0.2">
      <c r="A30" s="176">
        <f t="shared" si="13"/>
        <v>15</v>
      </c>
      <c r="B30" s="56" t="s">
        <v>51</v>
      </c>
      <c r="C30" s="51">
        <v>0</v>
      </c>
      <c r="D30" s="252">
        <f t="shared" si="10"/>
        <v>0</v>
      </c>
      <c r="E30" s="56"/>
      <c r="F30" s="51">
        <v>0</v>
      </c>
      <c r="G30" s="241">
        <f t="shared" si="0"/>
        <v>0</v>
      </c>
      <c r="H30" s="242">
        <f>IF($A30&lt;=$N$4,H$15*'General Data'!$S22,"")</f>
        <v>606010</v>
      </c>
      <c r="I30" s="243">
        <f>IF(A30&lt;&gt;"",IF(I$15="",VLOOKUP(A30,'DOE Fuel Esc Rates'!$T$9:$W$38,3,TRUE),I$15),"")</f>
        <v>-2.7846534653466204E-3</v>
      </c>
      <c r="J30" s="243">
        <f>((1+I30)*(1+'General Data'!$M$25))-1</f>
        <v>-1.7874381188121014E-3</v>
      </c>
      <c r="K30" s="253">
        <f t="shared" si="11"/>
        <v>616725.68045468873</v>
      </c>
      <c r="L30" s="253">
        <f t="shared" si="1"/>
        <v>388974.7587418849</v>
      </c>
      <c r="M30" s="241">
        <f t="shared" si="2"/>
        <v>395852.74626621231</v>
      </c>
      <c r="N30" s="242">
        <f>IF($A30&lt;=$N$4,N$15*'General Data'!$S22,"")</f>
        <v>20920</v>
      </c>
      <c r="O30" s="243">
        <f>IF(A30&lt;&gt;"",IF(O$15="",VLOOKUP(A30,'DOE Fuel Esc Rates'!$T$9:$W$38,4,TRUE),O$15),"")</f>
        <v>2.73972602739736E-3</v>
      </c>
      <c r="P30" s="243">
        <f>((1+O30)*(1+'General Data'!$M$25))-1</f>
        <v>3.7424657534246286E-3</v>
      </c>
      <c r="Q30" s="253">
        <f t="shared" si="12"/>
        <v>25867.297297297297</v>
      </c>
      <c r="R30" s="253">
        <f t="shared" si="3"/>
        <v>13427.751939539334</v>
      </c>
      <c r="S30" s="241">
        <f t="shared" si="4"/>
        <v>16603.233817133096</v>
      </c>
      <c r="T30" s="242">
        <f t="shared" si="5"/>
        <v>0</v>
      </c>
      <c r="U30" s="245">
        <f t="shared" si="6"/>
        <v>0</v>
      </c>
      <c r="V30" s="246">
        <f>IF($A30&lt;=$N$4,VLOOKUP(A30,'DOE Fuel Esc Rates'!$T$9:$W$38,2,TRUE),"")</f>
        <v>2029</v>
      </c>
      <c r="W30" s="247">
        <f t="shared" si="7"/>
        <v>642592.97775198601</v>
      </c>
      <c r="X30" s="241">
        <f t="shared" si="8"/>
        <v>412455.98008334544</v>
      </c>
      <c r="Y30" s="248">
        <f>IF(A30&lt;&gt;"",SUM(X$15:X30),"")</f>
        <v>7975739.320528171</v>
      </c>
      <c r="Z30" s="249">
        <f>IF(A30&lt;&gt;"",LCC0!Y30-Y30,"")</f>
        <v>474825.43681853544</v>
      </c>
      <c r="AA30" s="312" t="str">
        <f>IF(A30&lt;&gt;"",IF(Z30&gt;0,IF(SUM(AA$16:AA29)=0,A29+(-Z29)/(Z30-Z29),""),""),"")</f>
        <v/>
      </c>
      <c r="AB30" s="198"/>
      <c r="AC30" s="251">
        <f t="shared" si="9"/>
        <v>642592.97775198601</v>
      </c>
      <c r="AE30" s="198"/>
    </row>
    <row r="31" spans="1:31" x14ac:dyDescent="0.2">
      <c r="A31" s="176">
        <f t="shared" si="13"/>
        <v>16</v>
      </c>
      <c r="B31" s="56"/>
      <c r="C31" s="51">
        <v>0</v>
      </c>
      <c r="D31" s="252">
        <f t="shared" si="10"/>
        <v>0</v>
      </c>
      <c r="E31" s="56"/>
      <c r="F31" s="51">
        <v>0</v>
      </c>
      <c r="G31" s="241">
        <f t="shared" si="0"/>
        <v>0</v>
      </c>
      <c r="H31" s="242">
        <f>IF($A31&lt;=$N$4,H$15*'General Data'!$S23,"")</f>
        <v>606010</v>
      </c>
      <c r="I31" s="243">
        <f>IF(A31&lt;&gt;"",IF(I$15="",VLOOKUP(A31,'DOE Fuel Esc Rates'!$T$9:$W$38,3,TRUE),I$15),"")</f>
        <v>-1.2410797393732631E-3</v>
      </c>
      <c r="J31" s="243">
        <f>((1+I31)*(1+'General Data'!$M$25))-1</f>
        <v>-2.4232081911279568E-4</v>
      </c>
      <c r="K31" s="253">
        <f t="shared" si="11"/>
        <v>615960.27470792527</v>
      </c>
      <c r="L31" s="253">
        <f t="shared" si="1"/>
        <v>377645.39683678153</v>
      </c>
      <c r="M31" s="241">
        <f t="shared" si="2"/>
        <v>383846.07907091861</v>
      </c>
      <c r="N31" s="242">
        <f>IF($A31&lt;=$N$4,N$15*'General Data'!$S23,"")</f>
        <v>20920</v>
      </c>
      <c r="O31" s="243">
        <f>IF(A31&lt;&gt;"",IF(O$15="",VLOOKUP(A31,'DOE Fuel Esc Rates'!$T$9:$W$38,4,TRUE),O$15),"")</f>
        <v>8.1967213114753079E-3</v>
      </c>
      <c r="P31" s="243">
        <f>((1+O31)*(1+'General Data'!$M$25))-1</f>
        <v>9.2049180327866686E-3</v>
      </c>
      <c r="Q31" s="253">
        <f t="shared" si="12"/>
        <v>26079.32432432432</v>
      </c>
      <c r="R31" s="253">
        <f t="shared" si="3"/>
        <v>13036.652368484793</v>
      </c>
      <c r="S31" s="241">
        <f t="shared" si="4"/>
        <v>16251.772716117863</v>
      </c>
      <c r="T31" s="242">
        <f t="shared" si="5"/>
        <v>0</v>
      </c>
      <c r="U31" s="245">
        <f t="shared" si="6"/>
        <v>0</v>
      </c>
      <c r="V31" s="246">
        <f>IF($A31&lt;=$N$4,VLOOKUP(A31,'DOE Fuel Esc Rates'!$T$9:$W$38,2,TRUE),"")</f>
        <v>2030</v>
      </c>
      <c r="W31" s="247">
        <f t="shared" si="7"/>
        <v>642039.59903224953</v>
      </c>
      <c r="X31" s="241">
        <f t="shared" si="8"/>
        <v>400097.85178703646</v>
      </c>
      <c r="Y31" s="248">
        <f>IF(A31&lt;&gt;"",SUM(X$15:X31),"")</f>
        <v>8375837.1723152073</v>
      </c>
      <c r="Z31" s="249">
        <f>IF(A31&lt;&gt;"",LCC0!Y31-Y31,"")</f>
        <v>510103.55733152758</v>
      </c>
      <c r="AA31" s="312" t="str">
        <f>IF(A31&lt;&gt;"",IF(Z31&gt;0,IF(SUM(AA$16:AA30)=0,A30+(-Z30)/(Z31-Z30),""),""),"")</f>
        <v/>
      </c>
      <c r="AB31" s="198"/>
      <c r="AC31" s="251">
        <f t="shared" si="9"/>
        <v>642039.59903224953</v>
      </c>
      <c r="AE31" s="198"/>
    </row>
    <row r="32" spans="1:31" x14ac:dyDescent="0.2">
      <c r="A32" s="176">
        <f t="shared" si="13"/>
        <v>17</v>
      </c>
      <c r="B32" s="56"/>
      <c r="C32" s="51">
        <v>0</v>
      </c>
      <c r="D32" s="252">
        <f t="shared" si="10"/>
        <v>0</v>
      </c>
      <c r="E32" s="56"/>
      <c r="F32" s="51">
        <v>0</v>
      </c>
      <c r="G32" s="241">
        <f t="shared" si="0"/>
        <v>0</v>
      </c>
      <c r="H32" s="242">
        <f>IF($A32&lt;=$N$4,H$15*'General Data'!$S24,"")</f>
        <v>606010</v>
      </c>
      <c r="I32" s="243">
        <f>IF(A32&lt;&gt;"",IF(I$15="",VLOOKUP(A32,'DOE Fuel Esc Rates'!$T$9:$W$38,3,TRUE),I$15),"")</f>
        <v>0</v>
      </c>
      <c r="J32" s="243">
        <f>((1+I32)*(1+'General Data'!$M$25))-1</f>
        <v>9.9999999999988987E-4</v>
      </c>
      <c r="K32" s="253">
        <f t="shared" si="11"/>
        <v>615960.27470792527</v>
      </c>
      <c r="L32" s="253">
        <f t="shared" si="1"/>
        <v>366646.01634638984</v>
      </c>
      <c r="M32" s="241">
        <f t="shared" si="2"/>
        <v>372666.09618535789</v>
      </c>
      <c r="N32" s="242">
        <f>IF($A32&lt;=$N$4,N$15*'General Data'!$S24,"")</f>
        <v>20920</v>
      </c>
      <c r="O32" s="243">
        <f>IF(A32&lt;&gt;"",IF(O$15="",VLOOKUP(A32,'DOE Fuel Esc Rates'!$T$9:$W$38,4,TRUE),O$15),"")</f>
        <v>1.6260162601625883E-2</v>
      </c>
      <c r="P32" s="243">
        <f>((1+O32)*(1+'General Data'!$M$25))-1</f>
        <v>1.7276422764227473E-2</v>
      </c>
      <c r="Q32" s="253">
        <f t="shared" si="12"/>
        <v>26503.378378378369</v>
      </c>
      <c r="R32" s="253">
        <f t="shared" si="3"/>
        <v>12656.944047072615</v>
      </c>
      <c r="S32" s="241">
        <f t="shared" si="4"/>
        <v>16034.979789365638</v>
      </c>
      <c r="T32" s="242">
        <f t="shared" si="5"/>
        <v>0</v>
      </c>
      <c r="U32" s="245">
        <f t="shared" si="6"/>
        <v>0</v>
      </c>
      <c r="V32" s="246">
        <f>IF($A32&lt;=$N$4,VLOOKUP(A32,'DOE Fuel Esc Rates'!$T$9:$W$38,2,TRUE),"")</f>
        <v>2031</v>
      </c>
      <c r="W32" s="247">
        <f t="shared" si="7"/>
        <v>642463.65308630362</v>
      </c>
      <c r="X32" s="241">
        <f t="shared" si="8"/>
        <v>388701.07597472356</v>
      </c>
      <c r="Y32" s="248">
        <f>IF(A32&lt;&gt;"",SUM(X$15:X32),"")</f>
        <v>8764538.2482899316</v>
      </c>
      <c r="Z32" s="249">
        <f>IF(A32&lt;&gt;"",LCC0!Y32-Y32,"")</f>
        <v>544408.12069757655</v>
      </c>
      <c r="AA32" s="312" t="str">
        <f>IF(A32&lt;&gt;"",IF(Z32&gt;0,IF(SUM(AA$16:AA31)=0,A31+(-Z31)/(Z32-Z31),""),""),"")</f>
        <v/>
      </c>
      <c r="AB32" s="198"/>
      <c r="AC32" s="251">
        <f t="shared" si="9"/>
        <v>642463.65308630362</v>
      </c>
      <c r="AE32" s="198"/>
    </row>
    <row r="33" spans="1:31" x14ac:dyDescent="0.2">
      <c r="A33" s="176">
        <f t="shared" si="13"/>
        <v>18</v>
      </c>
      <c r="B33" s="56"/>
      <c r="C33" s="51">
        <v>0</v>
      </c>
      <c r="D33" s="252">
        <f t="shared" si="10"/>
        <v>0</v>
      </c>
      <c r="E33" s="56"/>
      <c r="F33" s="51">
        <v>0</v>
      </c>
      <c r="G33" s="241">
        <f t="shared" si="0"/>
        <v>0</v>
      </c>
      <c r="H33" s="242">
        <f>IF($A33&lt;=$N$4,H$15*'General Data'!$S25,"")</f>
        <v>606010</v>
      </c>
      <c r="I33" s="243">
        <f>IF(A33&lt;&gt;"",IF(I$15="",VLOOKUP(A33,'DOE Fuel Esc Rates'!$T$9:$W$38,3,TRUE),I$15),"")</f>
        <v>2.1745883814849876E-3</v>
      </c>
      <c r="J33" s="243">
        <f>((1+I33)*(1+'General Data'!$M$25))-1</f>
        <v>3.1767629698664646E-3</v>
      </c>
      <c r="K33" s="253">
        <f t="shared" si="11"/>
        <v>617299.73476476141</v>
      </c>
      <c r="L33" s="253">
        <f t="shared" si="1"/>
        <v>355967.00616154348</v>
      </c>
      <c r="M33" s="241">
        <f t="shared" si="2"/>
        <v>362598.53548378241</v>
      </c>
      <c r="N33" s="242">
        <f>IF($A33&lt;=$N$4,N$15*'General Data'!$S25,"")</f>
        <v>20920</v>
      </c>
      <c r="O33" s="243">
        <f>IF(A33&lt;&gt;"",IF(O$15="",VLOOKUP(A33,'DOE Fuel Esc Rates'!$T$9:$W$38,4,TRUE),O$15),"")</f>
        <v>1.3333333333333419E-2</v>
      </c>
      <c r="P33" s="243">
        <f>((1+O33)*(1+'General Data'!$M$25))-1</f>
        <v>1.434666666666673E-2</v>
      </c>
      <c r="Q33" s="253">
        <f t="shared" si="12"/>
        <v>26856.756756756749</v>
      </c>
      <c r="R33" s="253">
        <f t="shared" si="3"/>
        <v>12288.295191332634</v>
      </c>
      <c r="S33" s="241">
        <f t="shared" si="4"/>
        <v>15775.514096981082</v>
      </c>
      <c r="T33" s="242">
        <f t="shared" si="5"/>
        <v>0</v>
      </c>
      <c r="U33" s="245">
        <f t="shared" si="6"/>
        <v>0</v>
      </c>
      <c r="V33" s="246">
        <f>IF($A33&lt;=$N$4,VLOOKUP(A33,'DOE Fuel Esc Rates'!$T$9:$W$38,2,TRUE),"")</f>
        <v>2032</v>
      </c>
      <c r="W33" s="247">
        <f t="shared" si="7"/>
        <v>644156.49152151821</v>
      </c>
      <c r="X33" s="241">
        <f t="shared" si="8"/>
        <v>378374.0495807635</v>
      </c>
      <c r="Y33" s="248">
        <f>IF(A33&lt;&gt;"",SUM(X$15:X33),"")</f>
        <v>9142912.2978706956</v>
      </c>
      <c r="Z33" s="249">
        <f>IF(A33&lt;&gt;"",LCC0!Y33-Y33,"")</f>
        <v>577822.48495419323</v>
      </c>
      <c r="AA33" s="312" t="str">
        <f>IF(A33&lt;&gt;"",IF(Z33&gt;0,IF(SUM(AA$16:AA32)=0,A32+(-Z32)/(Z33-Z32),""),""),"")</f>
        <v/>
      </c>
      <c r="AB33" s="198"/>
      <c r="AC33" s="251">
        <f t="shared" si="9"/>
        <v>644156.49152151821</v>
      </c>
      <c r="AE33" s="198"/>
    </row>
    <row r="34" spans="1:31" x14ac:dyDescent="0.2">
      <c r="A34" s="176">
        <f t="shared" si="13"/>
        <v>19</v>
      </c>
      <c r="B34" s="56"/>
      <c r="C34" s="51">
        <v>0</v>
      </c>
      <c r="D34" s="252">
        <f t="shared" si="10"/>
        <v>0</v>
      </c>
      <c r="E34" s="56"/>
      <c r="F34" s="51">
        <v>0</v>
      </c>
      <c r="G34" s="241">
        <f t="shared" si="0"/>
        <v>0</v>
      </c>
      <c r="H34" s="242">
        <f>IF($A34&lt;=$N$4,H$15*'General Data'!$S26,"")</f>
        <v>606010</v>
      </c>
      <c r="I34" s="243">
        <f>IF(A34&lt;&gt;"",IF(I$15="",VLOOKUP(A34,'DOE Fuel Esc Rates'!$T$9:$W$38,3,TRUE),I$15),"")</f>
        <v>1.2399256044637319E-3</v>
      </c>
      <c r="J34" s="243">
        <f>((1+I34)*(1+'General Data'!$M$25))-1</f>
        <v>2.2411655300680344E-3</v>
      </c>
      <c r="K34" s="253">
        <f t="shared" si="11"/>
        <v>618065.14051152486</v>
      </c>
      <c r="L34" s="253">
        <f t="shared" si="1"/>
        <v>345599.03510829469</v>
      </c>
      <c r="M34" s="241">
        <f t="shared" si="2"/>
        <v>352473.91329327167</v>
      </c>
      <c r="N34" s="242">
        <f>IF($A34&lt;=$N$4,N$15*'General Data'!$S26,"")</f>
        <v>20920</v>
      </c>
      <c r="O34" s="243">
        <f>IF(A34&lt;&gt;"",IF(O$15="",VLOOKUP(A34,'DOE Fuel Esc Rates'!$T$9:$W$38,4,TRUE),O$15),"")</f>
        <v>1.2280701754385781E-2</v>
      </c>
      <c r="P34" s="243">
        <f>((1+O34)*(1+'General Data'!$M$25))-1</f>
        <v>1.3292982456140079E-2</v>
      </c>
      <c r="Q34" s="253">
        <f t="shared" si="12"/>
        <v>27186.576576576565</v>
      </c>
      <c r="R34" s="253">
        <f t="shared" si="3"/>
        <v>11930.383680905472</v>
      </c>
      <c r="S34" s="241">
        <f t="shared" si="4"/>
        <v>15504.124738473995</v>
      </c>
      <c r="T34" s="242">
        <f t="shared" si="5"/>
        <v>0</v>
      </c>
      <c r="U34" s="245">
        <f t="shared" si="6"/>
        <v>0</v>
      </c>
      <c r="V34" s="246">
        <f>IF($A34&lt;=$N$4,VLOOKUP(A34,'DOE Fuel Esc Rates'!$T$9:$W$38,2,TRUE),"")</f>
        <v>2033</v>
      </c>
      <c r="W34" s="247">
        <f t="shared" si="7"/>
        <v>645251.71708810143</v>
      </c>
      <c r="X34" s="241">
        <f t="shared" si="8"/>
        <v>367978.03803174564</v>
      </c>
      <c r="Y34" s="248">
        <f>IF(A34&lt;&gt;"",SUM(X$15:X34),"")</f>
        <v>9510890.3359024413</v>
      </c>
      <c r="Z34" s="249">
        <f>IF(A34&lt;&gt;"",LCC0!Y34-Y34,"")</f>
        <v>610339.40604198165</v>
      </c>
      <c r="AA34" s="312" t="str">
        <f>IF(A34&lt;&gt;"",IF(Z34&gt;0,IF(SUM(AA$16:AA33)=0,A33+(-Z33)/(Z34-Z33),""),""),"")</f>
        <v/>
      </c>
      <c r="AB34" s="198"/>
      <c r="AC34" s="251">
        <f t="shared" si="9"/>
        <v>645251.71708810143</v>
      </c>
      <c r="AE34" s="198"/>
    </row>
    <row r="35" spans="1:31" x14ac:dyDescent="0.2">
      <c r="A35" s="176">
        <f t="shared" si="13"/>
        <v>20</v>
      </c>
      <c r="B35" s="56"/>
      <c r="C35" s="51">
        <v>0</v>
      </c>
      <c r="D35" s="252">
        <f t="shared" si="10"/>
        <v>0</v>
      </c>
      <c r="E35" s="56" t="s">
        <v>50</v>
      </c>
      <c r="F35" s="51">
        <v>0</v>
      </c>
      <c r="G35" s="241">
        <f t="shared" si="0"/>
        <v>0</v>
      </c>
      <c r="H35" s="242">
        <f>IF($A35&lt;=$N$4,H$15*'General Data'!$S27,"")</f>
        <v>606010</v>
      </c>
      <c r="I35" s="243">
        <f>IF(A35&lt;&gt;"",IF(I$15="",VLOOKUP(A35,'DOE Fuel Esc Rates'!$T$9:$W$38,3,TRUE),I$15),"")</f>
        <v>2.1671826625386803E-3</v>
      </c>
      <c r="J35" s="243">
        <f>((1+I35)*(1+'General Data'!$M$25))-1</f>
        <v>3.1693498452010083E-3</v>
      </c>
      <c r="K35" s="253">
        <f t="shared" si="11"/>
        <v>619404.600568361</v>
      </c>
      <c r="L35" s="253">
        <f t="shared" si="1"/>
        <v>335533.04379446083</v>
      </c>
      <c r="M35" s="241">
        <f t="shared" si="2"/>
        <v>342949.30936617282</v>
      </c>
      <c r="N35" s="242">
        <f>IF($A35&lt;=$N$4,N$15*'General Data'!$S27,"")</f>
        <v>20920</v>
      </c>
      <c r="O35" s="243">
        <f>IF(A35&lt;&gt;"",IF(O$15="",VLOOKUP(A35,'DOE Fuel Esc Rates'!$T$9:$W$38,4,TRUE),O$15),"")</f>
        <v>1.7331022530329365E-2</v>
      </c>
      <c r="P35" s="243">
        <f>((1+O35)*(1+'General Data'!$M$25))-1</f>
        <v>1.8348353552859686E-2</v>
      </c>
      <c r="Q35" s="253">
        <f t="shared" si="12"/>
        <v>27657.747747747737</v>
      </c>
      <c r="R35" s="253">
        <f t="shared" si="3"/>
        <v>11582.896777578128</v>
      </c>
      <c r="S35" s="241">
        <f t="shared" si="4"/>
        <v>15313.424343329636</v>
      </c>
      <c r="T35" s="242">
        <f t="shared" si="5"/>
        <v>0</v>
      </c>
      <c r="U35" s="245">
        <f t="shared" si="6"/>
        <v>0</v>
      </c>
      <c r="V35" s="246">
        <f>IF($A35&lt;=$N$4,VLOOKUP(A35,'DOE Fuel Esc Rates'!$T$9:$W$38,2,TRUE),"")</f>
        <v>2034</v>
      </c>
      <c r="W35" s="247">
        <f t="shared" si="7"/>
        <v>647062.34831610869</v>
      </c>
      <c r="X35" s="241">
        <f t="shared" si="8"/>
        <v>358262.73370950244</v>
      </c>
      <c r="Y35" s="248">
        <f>IF(A35&lt;&gt;"",SUM(X$15:X35),"")</f>
        <v>9869153.0696119443</v>
      </c>
      <c r="Z35" s="249">
        <f>IF(A35&lt;&gt;"",LCC0!Y35-Y35,"")</f>
        <v>642025.65754531324</v>
      </c>
      <c r="AA35" s="312" t="str">
        <f>IF(A35&lt;&gt;"",IF(Z35&gt;0,IF(SUM(AA$16:AA34)=0,A34+(-Z34)/(Z35-Z34),""),""),"")</f>
        <v/>
      </c>
      <c r="AB35" s="198"/>
      <c r="AC35" s="251">
        <f t="shared" si="9"/>
        <v>647062.34831610869</v>
      </c>
      <c r="AE35" s="198"/>
    </row>
    <row r="36" spans="1:31" x14ac:dyDescent="0.2">
      <c r="A36" s="176">
        <f t="shared" si="13"/>
        <v>21</v>
      </c>
      <c r="B36" s="56"/>
      <c r="C36" s="51">
        <v>0</v>
      </c>
      <c r="D36" s="252">
        <f t="shared" si="10"/>
        <v>0</v>
      </c>
      <c r="E36" s="56"/>
      <c r="F36" s="51">
        <v>0</v>
      </c>
      <c r="G36" s="241">
        <f t="shared" si="0"/>
        <v>0</v>
      </c>
      <c r="H36" s="242">
        <f>IF($A36&lt;=$N$4,H$15*'General Data'!$S28,"")</f>
        <v>606010</v>
      </c>
      <c r="I36" s="243">
        <f>IF(A36&lt;&gt;"",IF(I$15="",VLOOKUP(A36,'DOE Fuel Esc Rates'!$T$9:$W$38,3,TRUE),I$15),"")</f>
        <v>2.780352177942591E-3</v>
      </c>
      <c r="J36" s="243">
        <f>((1+I36)*(1+'General Data'!$M$25))-1</f>
        <v>3.7831325301205254E-3</v>
      </c>
      <c r="K36" s="253">
        <f t="shared" si="11"/>
        <v>621126.76349857892</v>
      </c>
      <c r="L36" s="253">
        <f t="shared" si="1"/>
        <v>325760.23669365136</v>
      </c>
      <c r="M36" s="241">
        <f t="shared" si="2"/>
        <v>333886.24196640099</v>
      </c>
      <c r="N36" s="242">
        <f>IF($A36&lt;=$N$4,N$15*'General Data'!$S28,"")</f>
        <v>20920</v>
      </c>
      <c r="O36" s="243">
        <f>IF(A36&lt;&gt;"",IF(O$15="",VLOOKUP(A36,'DOE Fuel Esc Rates'!$T$9:$W$38,4,TRUE),O$15),"")</f>
        <v>1.7035775127768327E-2</v>
      </c>
      <c r="P36" s="243">
        <f>((1+O36)*(1+'General Data'!$M$25))-1</f>
        <v>1.8052810902895899E-2</v>
      </c>
      <c r="Q36" s="253">
        <f t="shared" si="12"/>
        <v>28128.918918918909</v>
      </c>
      <c r="R36" s="253">
        <f t="shared" si="3"/>
        <v>11245.5308520176</v>
      </c>
      <c r="S36" s="241">
        <f t="shared" si="4"/>
        <v>15120.679996969608</v>
      </c>
      <c r="T36" s="242">
        <f t="shared" si="5"/>
        <v>0</v>
      </c>
      <c r="U36" s="245">
        <f t="shared" si="6"/>
        <v>0</v>
      </c>
      <c r="V36" s="246">
        <f>IF($A36&lt;=$N$4,VLOOKUP(A36,'DOE Fuel Esc Rates'!$T$9:$W$38,2,TRUE),"")</f>
        <v>2035</v>
      </c>
      <c r="W36" s="247">
        <f t="shared" si="7"/>
        <v>649255.68241749785</v>
      </c>
      <c r="X36" s="241">
        <f t="shared" si="8"/>
        <v>349006.92196337058</v>
      </c>
      <c r="Y36" s="248">
        <f>IF(A36&lt;&gt;"",SUM(X$15:X36),"")</f>
        <v>10218159.991575316</v>
      </c>
      <c r="Z36" s="249">
        <f>IF(A36&lt;&gt;"",LCC0!Y36-Y36,"")</f>
        <v>672919.11799288914</v>
      </c>
      <c r="AA36" s="312" t="str">
        <f>IF(A36&lt;&gt;"",IF(Z36&gt;0,IF(SUM(AA$16:AA35)=0,A35+(-Z35)/(Z36-Z35),""),""),"")</f>
        <v/>
      </c>
      <c r="AB36" s="198"/>
      <c r="AC36" s="251">
        <f t="shared" si="9"/>
        <v>649255.68241749785</v>
      </c>
      <c r="AE36" s="198"/>
    </row>
    <row r="37" spans="1:31" x14ac:dyDescent="0.2">
      <c r="A37" s="176">
        <f t="shared" si="13"/>
        <v>22</v>
      </c>
      <c r="B37" s="56"/>
      <c r="C37" s="51">
        <v>0</v>
      </c>
      <c r="D37" s="252">
        <f t="shared" si="10"/>
        <v>0</v>
      </c>
      <c r="E37" s="56"/>
      <c r="F37" s="51">
        <v>0</v>
      </c>
      <c r="G37" s="241">
        <f t="shared" si="0"/>
        <v>0</v>
      </c>
      <c r="H37" s="242">
        <f>IF($A37&lt;=$N$4,H$15*'General Data'!$S29,"")</f>
        <v>606010</v>
      </c>
      <c r="I37" s="243">
        <f>IF(A37&lt;&gt;"",IF(I$15="",VLOOKUP(A37,'DOE Fuel Esc Rates'!$T$9:$W$38,3,TRUE),I$15),"")</f>
        <v>4.6210720887245316E-3</v>
      </c>
      <c r="J37" s="243">
        <f>((1+I37)*(1+'General Data'!$M$25))-1</f>
        <v>5.6256931608131833E-3</v>
      </c>
      <c r="K37" s="253">
        <f t="shared" si="11"/>
        <v>623997.03504894197</v>
      </c>
      <c r="L37" s="253">
        <f t="shared" si="1"/>
        <v>316272.07445985568</v>
      </c>
      <c r="M37" s="241">
        <f t="shared" si="2"/>
        <v>325659.37316501071</v>
      </c>
      <c r="N37" s="242">
        <f>IF($A37&lt;=$N$4,N$15*'General Data'!$S29,"")</f>
        <v>20920</v>
      </c>
      <c r="O37" s="243">
        <f>IF(A37&lt;&gt;"",IF(O$15="",VLOOKUP(A37,'DOE Fuel Esc Rates'!$T$9:$W$38,4,TRUE),O$15),"")</f>
        <v>1.0050251256281451E-2</v>
      </c>
      <c r="P37" s="243">
        <f>((1+O37)*(1+'General Data'!$M$25))-1</f>
        <v>1.1060301507537673E-2</v>
      </c>
      <c r="Q37" s="253">
        <f t="shared" si="12"/>
        <v>28411.621621621613</v>
      </c>
      <c r="R37" s="253">
        <f t="shared" si="3"/>
        <v>10917.991118463689</v>
      </c>
      <c r="S37" s="241">
        <f t="shared" si="4"/>
        <v>14827.812262237843</v>
      </c>
      <c r="T37" s="242">
        <f t="shared" si="5"/>
        <v>0</v>
      </c>
      <c r="U37" s="245">
        <f t="shared" si="6"/>
        <v>0</v>
      </c>
      <c r="V37" s="246">
        <f>IF($A37&lt;=$N$4,VLOOKUP(A37,'DOE Fuel Esc Rates'!$T$9:$W$38,2,TRUE),"")</f>
        <v>2036</v>
      </c>
      <c r="W37" s="247">
        <f t="shared" si="7"/>
        <v>652408.65667056362</v>
      </c>
      <c r="X37" s="241">
        <f t="shared" si="8"/>
        <v>340487.18542724854</v>
      </c>
      <c r="Y37" s="248">
        <f>IF(A37&lt;&gt;"",SUM(X$15:X37),"")</f>
        <v>10558647.177002564</v>
      </c>
      <c r="Z37" s="249">
        <f>IF(A37&lt;&gt;"",LCC0!Y37-Y37,"")</f>
        <v>703068.13502634689</v>
      </c>
      <c r="AA37" s="312" t="str">
        <f>IF(A37&lt;&gt;"",IF(Z37&gt;0,IF(SUM(AA$16:AA36)=0,A36+(-Z36)/(Z37-Z36),""),""),"")</f>
        <v/>
      </c>
      <c r="AB37" s="198"/>
      <c r="AC37" s="251">
        <f t="shared" si="9"/>
        <v>652408.65667056362</v>
      </c>
      <c r="AE37" s="198"/>
    </row>
    <row r="38" spans="1:31" x14ac:dyDescent="0.2">
      <c r="A38" s="176">
        <f t="shared" si="13"/>
        <v>23</v>
      </c>
      <c r="B38" s="56"/>
      <c r="C38" s="51">
        <v>0</v>
      </c>
      <c r="D38" s="252">
        <f t="shared" si="10"/>
        <v>0</v>
      </c>
      <c r="E38" s="56"/>
      <c r="F38" s="51">
        <v>0</v>
      </c>
      <c r="G38" s="241">
        <f t="shared" si="0"/>
        <v>0</v>
      </c>
      <c r="H38" s="242">
        <f>IF($A38&lt;=$N$4,H$15*'General Data'!$S30,"")</f>
        <v>606010</v>
      </c>
      <c r="I38" s="243">
        <f>IF(A38&lt;&gt;"",IF(I$15="",VLOOKUP(A38,'DOE Fuel Esc Rates'!$T$9:$W$38,3,TRUE),I$15),"")</f>
        <v>4.9064704078505272E-3</v>
      </c>
      <c r="J38" s="243">
        <f>((1+I38)*(1+'General Data'!$M$25))-1</f>
        <v>5.9113768782581566E-3</v>
      </c>
      <c r="K38" s="253">
        <f t="shared" si="11"/>
        <v>627058.65803599602</v>
      </c>
      <c r="L38" s="253">
        <f t="shared" si="1"/>
        <v>307060.26646587928</v>
      </c>
      <c r="M38" s="241">
        <f t="shared" si="2"/>
        <v>317725.44780823682</v>
      </c>
      <c r="N38" s="242">
        <f>IF($A38&lt;=$N$4,N$15*'General Data'!$S30,"")</f>
        <v>20920</v>
      </c>
      <c r="O38" s="243">
        <f>IF(A38&lt;&gt;"",IF(O$15="",VLOOKUP(A38,'DOE Fuel Esc Rates'!$T$9:$W$38,4,TRUE),O$15),"")</f>
        <v>1.8242122719734466E-2</v>
      </c>
      <c r="P38" s="243">
        <f>((1+O38)*(1+'General Data'!$M$25))-1</f>
        <v>1.9260364842454081E-2</v>
      </c>
      <c r="Q38" s="253">
        <f t="shared" si="12"/>
        <v>28929.909909909897</v>
      </c>
      <c r="R38" s="253">
        <f t="shared" si="3"/>
        <v>10599.991377149212</v>
      </c>
      <c r="S38" s="241">
        <f t="shared" si="4"/>
        <v>14658.546634165796</v>
      </c>
      <c r="T38" s="242">
        <f t="shared" si="5"/>
        <v>0</v>
      </c>
      <c r="U38" s="245">
        <f t="shared" si="6"/>
        <v>0</v>
      </c>
      <c r="V38" s="246">
        <f>IF($A38&lt;=$N$4,VLOOKUP(A38,'DOE Fuel Esc Rates'!$T$9:$W$38,2,TRUE),"")</f>
        <v>2037</v>
      </c>
      <c r="W38" s="247">
        <f t="shared" si="7"/>
        <v>655988.56794590596</v>
      </c>
      <c r="X38" s="241">
        <f t="shared" si="8"/>
        <v>332383.99444240262</v>
      </c>
      <c r="Y38" s="248">
        <f>IF(A38&lt;&gt;"",SUM(X$15:X38),"")</f>
        <v>10891031.171444967</v>
      </c>
      <c r="Z38" s="249">
        <f>IF(A38&lt;&gt;"",LCC0!Y38-Y38,"")</f>
        <v>732523.02013615333</v>
      </c>
      <c r="AA38" s="312" t="str">
        <f>IF(A38&lt;&gt;"",IF(Z38&gt;0,IF(SUM(AA$16:AA37)=0,A37+(-Z37)/(Z38-Z37),""),""),"")</f>
        <v/>
      </c>
      <c r="AB38" s="198"/>
      <c r="AC38" s="251">
        <f t="shared" si="9"/>
        <v>655988.56794590596</v>
      </c>
      <c r="AE38" s="198"/>
    </row>
    <row r="39" spans="1:31" x14ac:dyDescent="0.2">
      <c r="A39" s="176">
        <f t="shared" si="13"/>
        <v>24</v>
      </c>
      <c r="B39" s="56"/>
      <c r="C39" s="51">
        <v>0</v>
      </c>
      <c r="D39" s="252">
        <f t="shared" si="10"/>
        <v>0</v>
      </c>
      <c r="E39" s="56"/>
      <c r="F39" s="51">
        <v>0</v>
      </c>
      <c r="G39" s="241">
        <f t="shared" si="0"/>
        <v>0</v>
      </c>
      <c r="H39" s="242">
        <f>IF($A39&lt;=$N$4,H$15*'General Data'!$S31,"")</f>
        <v>606010</v>
      </c>
      <c r="I39" s="243">
        <f>IF(A39&lt;&gt;"",IF(I$15="",VLOOKUP(A39,'DOE Fuel Esc Rates'!$T$9:$W$38,3,TRUE),I$15),"")</f>
        <v>4.8825144949649069E-3</v>
      </c>
      <c r="J39" s="243">
        <f>((1+I39)*(1+'General Data'!$M$25))-1</f>
        <v>5.8873970094597272E-3</v>
      </c>
      <c r="K39" s="253">
        <f t="shared" si="11"/>
        <v>630120.28102304996</v>
      </c>
      <c r="L39" s="253">
        <f t="shared" si="1"/>
        <v>298116.7635591061</v>
      </c>
      <c r="M39" s="241">
        <f t="shared" si="2"/>
        <v>309977.42418697063</v>
      </c>
      <c r="N39" s="242">
        <f>IF($A39&lt;=$N$4,N$15*'General Data'!$S31,"")</f>
        <v>20920</v>
      </c>
      <c r="O39" s="243">
        <f>IF(A39&lt;&gt;"",IF(O$15="",VLOOKUP(A39,'DOE Fuel Esc Rates'!$T$9:$W$38,4,TRUE),O$15),"")</f>
        <v>2.6058631921824116E-2</v>
      </c>
      <c r="P39" s="243">
        <f>((1+O39)*(1+'General Data'!$M$25))-1</f>
        <v>2.7084690553745849E-2</v>
      </c>
      <c r="Q39" s="253">
        <f t="shared" si="12"/>
        <v>29683.783783783769</v>
      </c>
      <c r="R39" s="253">
        <f t="shared" si="3"/>
        <v>10291.253764222538</v>
      </c>
      <c r="S39" s="241">
        <f t="shared" si="4"/>
        <v>14602.45466545089</v>
      </c>
      <c r="T39" s="242">
        <f t="shared" si="5"/>
        <v>0</v>
      </c>
      <c r="U39" s="245">
        <f t="shared" si="6"/>
        <v>0</v>
      </c>
      <c r="V39" s="246">
        <f>IF($A39&lt;=$N$4,VLOOKUP(A39,'DOE Fuel Esc Rates'!$T$9:$W$38,2,TRUE),"")</f>
        <v>2038</v>
      </c>
      <c r="W39" s="247">
        <f t="shared" si="7"/>
        <v>659804.06480683375</v>
      </c>
      <c r="X39" s="241">
        <f t="shared" si="8"/>
        <v>324579.87885242153</v>
      </c>
      <c r="Y39" s="248">
        <f>IF(A39&lt;&gt;"",SUM(X$15:X39),"")</f>
        <v>11215611.050297389</v>
      </c>
      <c r="Z39" s="249">
        <f>IF(A39&lt;&gt;"",LCC0!Y39-Y39,"")</f>
        <v>761323.00678058714</v>
      </c>
      <c r="AA39" s="312" t="str">
        <f>IF(A39&lt;&gt;"",IF(Z39&gt;0,IF(SUM(AA$16:AA38)=0,A38+(-Z38)/(Z39-Z38),""),""),"")</f>
        <v/>
      </c>
      <c r="AB39" s="198"/>
      <c r="AC39" s="251">
        <f t="shared" si="9"/>
        <v>659804.06480683375</v>
      </c>
      <c r="AE39" s="198"/>
    </row>
    <row r="40" spans="1:31" x14ac:dyDescent="0.2">
      <c r="A40" s="176">
        <f t="shared" si="13"/>
        <v>25</v>
      </c>
      <c r="B40" s="56" t="s">
        <v>52</v>
      </c>
      <c r="C40" s="51">
        <v>0</v>
      </c>
      <c r="D40" s="252">
        <f t="shared" si="10"/>
        <v>0</v>
      </c>
      <c r="E40" s="56"/>
      <c r="F40" s="51">
        <v>0</v>
      </c>
      <c r="G40" s="241">
        <f t="shared" si="0"/>
        <v>0</v>
      </c>
      <c r="H40" s="242">
        <f>IF($A40&lt;=$N$4,H$15*'General Data'!$S32,"")</f>
        <v>606010</v>
      </c>
      <c r="I40" s="243">
        <f>IF(A40&lt;&gt;"",IF(I$15="",VLOOKUP(A40,'DOE Fuel Esc Rates'!$T$9:$W$38,3,TRUE),I$15),"")</f>
        <v>5.1624658366231646E-3</v>
      </c>
      <c r="J40" s="243">
        <f>((1+I40)*(1+'General Data'!$M$25))-1</f>
        <v>6.167628302459649E-3</v>
      </c>
      <c r="K40" s="253">
        <f t="shared" si="11"/>
        <v>633373.25544679479</v>
      </c>
      <c r="L40" s="253">
        <f t="shared" si="1"/>
        <v>289433.75102825835</v>
      </c>
      <c r="M40" s="241">
        <f t="shared" si="2"/>
        <v>302502.594222777</v>
      </c>
      <c r="N40" s="242">
        <f>IF($A40&lt;=$N$4,N$15*'General Data'!$S32,"")</f>
        <v>20920</v>
      </c>
      <c r="O40" s="243">
        <f>IF(A40&lt;&gt;"",IF(O$15="",VLOOKUP(A40,'DOE Fuel Esc Rates'!$T$9:$W$38,4,TRUE),O$15),"")</f>
        <v>2.4603174603174738E-2</v>
      </c>
      <c r="P40" s="243">
        <f>((1+O40)*(1+'General Data'!$M$25))-1</f>
        <v>2.5627777777777805E-2</v>
      </c>
      <c r="Q40" s="253">
        <f t="shared" si="12"/>
        <v>30414.099099099087</v>
      </c>
      <c r="R40" s="253">
        <f t="shared" si="3"/>
        <v>9991.5085089539207</v>
      </c>
      <c r="S40" s="241">
        <f t="shared" si="4"/>
        <v>14525.94311380575</v>
      </c>
      <c r="T40" s="242">
        <f t="shared" si="5"/>
        <v>0</v>
      </c>
      <c r="U40" s="245">
        <f t="shared" si="6"/>
        <v>0</v>
      </c>
      <c r="V40" s="246">
        <f>IF($A40&lt;=$N$4,VLOOKUP(A40,'DOE Fuel Esc Rates'!$T$9:$W$38,2,TRUE),"")</f>
        <v>2039</v>
      </c>
      <c r="W40" s="247">
        <f t="shared" si="7"/>
        <v>663787.35454589385</v>
      </c>
      <c r="X40" s="241">
        <f t="shared" si="8"/>
        <v>317028.53733658273</v>
      </c>
      <c r="Y40" s="248">
        <f>IF(A40&lt;&gt;"",SUM(X$15:X40),"")</f>
        <v>11532639.587633971</v>
      </c>
      <c r="Z40" s="249">
        <f>IF(A40&lt;&gt;"",LCC0!Y40-Y40,"")</f>
        <v>789486.47581087053</v>
      </c>
      <c r="AA40" s="312" t="str">
        <f>IF(A40&lt;&gt;"",IF(Z40&gt;0,IF(SUM(AA$16:AA39)=0,A39+(-Z39)/(Z40-Z39),""),""),"")</f>
        <v/>
      </c>
      <c r="AB40" s="198"/>
      <c r="AC40" s="251">
        <f t="shared" si="9"/>
        <v>663787.35454589385</v>
      </c>
      <c r="AE40" s="198"/>
    </row>
    <row r="41" spans="1:31" s="124" customFormat="1" ht="11.25" customHeight="1" thickBot="1" x14ac:dyDescent="0.25">
      <c r="A41" s="254"/>
      <c r="B41" s="255"/>
      <c r="C41" s="256"/>
      <c r="D41" s="257"/>
      <c r="E41" s="256"/>
      <c r="F41" s="256"/>
      <c r="G41" s="258"/>
      <c r="H41" s="259"/>
      <c r="I41" s="260"/>
      <c r="J41" s="260"/>
      <c r="K41" s="253"/>
      <c r="L41" s="253"/>
      <c r="M41" s="241"/>
      <c r="N41" s="261"/>
      <c r="O41" s="260"/>
      <c r="P41" s="260"/>
      <c r="Q41" s="260"/>
      <c r="R41" s="253"/>
      <c r="S41" s="241"/>
      <c r="T41" s="251"/>
      <c r="U41" s="258"/>
      <c r="V41" s="129"/>
      <c r="W41" s="129"/>
      <c r="X41" s="262"/>
      <c r="Y41" s="263"/>
      <c r="Z41" s="264"/>
      <c r="AA41" s="265"/>
    </row>
    <row r="42" spans="1:31" s="124" customFormat="1" ht="2.25" customHeight="1" x14ac:dyDescent="0.2">
      <c r="A42" s="266"/>
      <c r="B42" s="267"/>
      <c r="C42" s="267"/>
      <c r="D42" s="268"/>
      <c r="E42" s="267"/>
      <c r="F42" s="267"/>
      <c r="G42" s="269"/>
      <c r="H42" s="270"/>
      <c r="I42" s="271"/>
      <c r="J42" s="271"/>
      <c r="K42" s="271"/>
      <c r="L42" s="271"/>
      <c r="M42" s="272"/>
      <c r="N42" s="271"/>
      <c r="O42" s="271"/>
      <c r="P42" s="271"/>
      <c r="Q42" s="271"/>
      <c r="R42" s="271"/>
      <c r="S42" s="272"/>
      <c r="T42" s="273"/>
      <c r="U42" s="269"/>
      <c r="V42" s="273"/>
      <c r="W42" s="273"/>
      <c r="X42" s="269"/>
      <c r="Y42" s="274"/>
      <c r="Z42" s="273"/>
      <c r="AA42" s="275"/>
    </row>
    <row r="43" spans="1:31" s="289" customFormat="1" x14ac:dyDescent="0.2">
      <c r="A43" s="276"/>
      <c r="B43" s="277"/>
      <c r="C43" s="278">
        <f>SUM(C15:C40)</f>
        <v>256470</v>
      </c>
      <c r="D43" s="279">
        <f>+SUM(D15:D40)</f>
        <v>256470</v>
      </c>
      <c r="E43" s="278"/>
      <c r="F43" s="278">
        <f>SUM(F15:F40)</f>
        <v>0</v>
      </c>
      <c r="G43" s="280">
        <f>+SUM(G15:G40)</f>
        <v>0</v>
      </c>
      <c r="H43" s="281">
        <f>SUM(H16:H40)</f>
        <v>15150250</v>
      </c>
      <c r="I43" s="129"/>
      <c r="J43" s="129"/>
      <c r="K43" s="282">
        <f>SUM(K16:K40)</f>
        <v>15560698.831701921</v>
      </c>
      <c r="L43" s="282">
        <f>SUM(L16:L40)</f>
        <v>10552541.632391393</v>
      </c>
      <c r="M43" s="280">
        <f>+SUM(M16:M40)</f>
        <v>10838600.740550291</v>
      </c>
      <c r="N43" s="281">
        <f>SUM(N16:N40)</f>
        <v>523000</v>
      </c>
      <c r="O43" s="283"/>
      <c r="P43" s="129"/>
      <c r="Q43" s="282">
        <f>SUM(Q16:Q40)</f>
        <v>641287.52252252249</v>
      </c>
      <c r="R43" s="282">
        <f>SUM(R16:R40)</f>
        <v>364283.04970153607</v>
      </c>
      <c r="S43" s="280">
        <f>+SUM(S16:S40)</f>
        <v>437568.84708368056</v>
      </c>
      <c r="T43" s="281">
        <f>SUM(T16:T40)</f>
        <v>0</v>
      </c>
      <c r="U43" s="284">
        <f>+SUM(U16:U40)</f>
        <v>0</v>
      </c>
      <c r="V43" s="283"/>
      <c r="W43" s="285">
        <f>SUM(W15:W40)</f>
        <v>16458456.354224442</v>
      </c>
      <c r="X43" s="284">
        <f>+SUM(X15:X40)</f>
        <v>11532639.587633971</v>
      </c>
      <c r="Y43" s="286">
        <f>X43</f>
        <v>11532639.587633971</v>
      </c>
      <c r="Z43" s="287" t="s">
        <v>49</v>
      </c>
      <c r="AA43" s="313">
        <f>IF(SUM(AA16:AA40)&gt;0,SUM(AA16:AA40),"&gt;"&amp;T4)</f>
        <v>3.8535165695136202</v>
      </c>
      <c r="AC43" s="289">
        <f>+SUM(AC15:AC40)</f>
        <v>16201986.354224442</v>
      </c>
    </row>
    <row r="44" spans="1:31" s="124" customFormat="1" ht="5.25" customHeight="1" thickBot="1" x14ac:dyDescent="0.25">
      <c r="A44" s="290"/>
      <c r="B44" s="291"/>
      <c r="C44" s="291"/>
      <c r="D44" s="292"/>
      <c r="E44" s="291"/>
      <c r="F44" s="291"/>
      <c r="G44" s="293"/>
      <c r="H44" s="291"/>
      <c r="I44" s="294"/>
      <c r="J44" s="294"/>
      <c r="K44" s="294"/>
      <c r="L44" s="294"/>
      <c r="M44" s="293"/>
      <c r="N44" s="294"/>
      <c r="O44" s="294"/>
      <c r="P44" s="294"/>
      <c r="Q44" s="294"/>
      <c r="R44" s="294"/>
      <c r="S44" s="293"/>
      <c r="T44" s="294"/>
      <c r="U44" s="293"/>
      <c r="V44" s="294"/>
      <c r="W44" s="294"/>
      <c r="X44" s="293"/>
      <c r="Y44" s="295"/>
      <c r="Z44" s="294"/>
      <c r="AA44" s="293"/>
    </row>
    <row r="45" spans="1:31" s="124" customFormat="1" ht="6" customHeight="1" x14ac:dyDescent="0.2">
      <c r="A45" s="129"/>
      <c r="B45" s="296"/>
      <c r="C45" s="296"/>
      <c r="D45" s="296"/>
      <c r="E45" s="296"/>
      <c r="F45" s="74"/>
      <c r="G45" s="74"/>
      <c r="H45" s="296"/>
      <c r="I45" s="74"/>
      <c r="J45" s="74"/>
      <c r="K45" s="74"/>
      <c r="L45" s="74"/>
      <c r="M45" s="74"/>
      <c r="N45" s="74"/>
      <c r="O45" s="74"/>
      <c r="P45" s="74"/>
      <c r="Q45" s="74"/>
      <c r="R45" s="74"/>
      <c r="S45" s="74"/>
      <c r="T45" s="74"/>
      <c r="U45" s="74"/>
      <c r="V45" s="74"/>
      <c r="W45" s="74"/>
      <c r="X45" s="74"/>
      <c r="AA45" s="141"/>
    </row>
    <row r="46" spans="1:31" x14ac:dyDescent="0.2">
      <c r="B46" s="297" t="s">
        <v>53</v>
      </c>
      <c r="C46" s="298" t="s">
        <v>1</v>
      </c>
      <c r="I46" s="299"/>
      <c r="J46" s="299"/>
      <c r="M46" s="251"/>
      <c r="P46" s="299"/>
      <c r="S46" s="300"/>
      <c r="U46" s="301"/>
      <c r="X46" s="302"/>
    </row>
    <row r="47" spans="1:31" x14ac:dyDescent="0.2">
      <c r="C47" s="304" t="s">
        <v>201</v>
      </c>
      <c r="M47" s="251"/>
      <c r="X47" s="302"/>
    </row>
    <row r="48" spans="1:31" x14ac:dyDescent="0.2">
      <c r="L48" s="305"/>
      <c r="X48" s="302"/>
    </row>
    <row r="49" spans="8:24" x14ac:dyDescent="0.2">
      <c r="H49" s="306"/>
      <c r="L49" s="305"/>
      <c r="M49" s="251"/>
    </row>
    <row r="50" spans="8:24" x14ac:dyDescent="0.2">
      <c r="H50" s="255"/>
      <c r="M50" s="251"/>
      <c r="X50" s="307"/>
    </row>
    <row r="51" spans="8:24" x14ac:dyDescent="0.2">
      <c r="M51" s="308"/>
      <c r="X51" s="309"/>
    </row>
    <row r="52" spans="8:24" x14ac:dyDescent="0.2">
      <c r="H52" s="306"/>
      <c r="M52" s="308"/>
    </row>
    <row r="53" spans="8:24" x14ac:dyDescent="0.2">
      <c r="H53" s="306"/>
    </row>
    <row r="54" spans="8:24" x14ac:dyDescent="0.2">
      <c r="H54" s="310"/>
    </row>
    <row r="56" spans="8:24" x14ac:dyDescent="0.2">
      <c r="H56" s="311"/>
      <c r="M56" s="307"/>
    </row>
  </sheetData>
  <phoneticPr fontId="0" type="noConversion"/>
  <printOptions horizontalCentered="1"/>
  <pageMargins left="0.35" right="0.35" top="0.75" bottom="0.75" header="0.5" footer="0.5"/>
  <pageSetup paperSize="4" scale="70" orientation="landscape" horizontalDpi="4294967292"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34</vt:i4>
      </vt:variant>
    </vt:vector>
  </HeadingPairs>
  <TitlesOfParts>
    <vt:vector size="53" baseType="lpstr">
      <vt:lpstr>General Data</vt:lpstr>
      <vt:lpstr>LCC0</vt:lpstr>
      <vt:lpstr>LCC1</vt:lpstr>
      <vt:lpstr>LCC2</vt:lpstr>
      <vt:lpstr>LCC3</vt:lpstr>
      <vt:lpstr>LCC4</vt:lpstr>
      <vt:lpstr>LCC5</vt:lpstr>
      <vt:lpstr>LCC6</vt:lpstr>
      <vt:lpstr>LCC7</vt:lpstr>
      <vt:lpstr>LCC8</vt:lpstr>
      <vt:lpstr>LCC9</vt:lpstr>
      <vt:lpstr>Results Summary</vt:lpstr>
      <vt:lpstr>Graph</vt:lpstr>
      <vt:lpstr>SPV</vt:lpstr>
      <vt:lpstr>UPV</vt:lpstr>
      <vt:lpstr>DOE Mod UPV</vt:lpstr>
      <vt:lpstr>DOE Fuel Esc Rates</vt:lpstr>
      <vt:lpstr>non-fuel Mod UPV</vt:lpstr>
      <vt:lpstr>Copyright</vt:lpstr>
      <vt:lpstr>LCC0!disc</vt:lpstr>
      <vt:lpstr>'LCC1'!disc</vt:lpstr>
      <vt:lpstr>'LCC2'!disc</vt:lpstr>
      <vt:lpstr>'LCC3'!disc</vt:lpstr>
      <vt:lpstr>'LCC4'!disc</vt:lpstr>
      <vt:lpstr>'LCC5'!disc</vt:lpstr>
      <vt:lpstr>'LCC6'!disc</vt:lpstr>
      <vt:lpstr>'LCC7'!disc</vt:lpstr>
      <vt:lpstr>'LCC8'!disc</vt:lpstr>
      <vt:lpstr>'LCC9'!disc</vt:lpstr>
      <vt:lpstr>DOEUPV_femp_disc</vt:lpstr>
      <vt:lpstr>ModUPV_femp_disc</vt:lpstr>
      <vt:lpstr>'DOE Fuel Esc Rates'!Print_Area</vt:lpstr>
      <vt:lpstr>'DOE Mod UPV'!Print_Area</vt:lpstr>
      <vt:lpstr>LCC0!Print_Area</vt:lpstr>
      <vt:lpstr>'LCC1'!Print_Area</vt:lpstr>
      <vt:lpstr>'LCC2'!Print_Area</vt:lpstr>
      <vt:lpstr>'LCC3'!Print_Area</vt:lpstr>
      <vt:lpstr>'LCC4'!Print_Area</vt:lpstr>
      <vt:lpstr>'LCC5'!Print_Area</vt:lpstr>
      <vt:lpstr>'LCC6'!Print_Area</vt:lpstr>
      <vt:lpstr>'LCC7'!Print_Area</vt:lpstr>
      <vt:lpstr>'LCC8'!Print_Area</vt:lpstr>
      <vt:lpstr>'LCC9'!Print_Area</vt:lpstr>
      <vt:lpstr>'non-fuel Mod UPV'!Print_Area</vt:lpstr>
      <vt:lpstr>'Results Summary'!Print_Area</vt:lpstr>
      <vt:lpstr>SPV!Print_Area</vt:lpstr>
      <vt:lpstr>UPV!Print_Area</vt:lpstr>
      <vt:lpstr>SPV_Femp_disc</vt:lpstr>
      <vt:lpstr>SPV_OMBlt_disc</vt:lpstr>
      <vt:lpstr>SPV_OMBst_disc</vt:lpstr>
      <vt:lpstr>UPV_Femp_disc</vt:lpstr>
      <vt:lpstr>UPV_OMBlt_disc</vt:lpstr>
      <vt:lpstr>UPV_OMBst_disc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Anyone</dc:creator>
  <cp:lastModifiedBy>MSA</cp:lastModifiedBy>
  <cp:lastPrinted>2010-08-18T02:11:45Z</cp:lastPrinted>
  <dcterms:created xsi:type="dcterms:W3CDTF">1996-03-09T22:33:54Z</dcterms:created>
  <dcterms:modified xsi:type="dcterms:W3CDTF">2016-04-22T22:55:47Z</dcterms:modified>
</cp:coreProperties>
</file>